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2120" windowHeight="9096" tabRatio="727" activeTab="0"/>
  </bookViews>
  <sheets>
    <sheet name="Inscriptions" sheetId="1" r:id="rId1"/>
    <sheet name="Suivi de rencontre" sheetId="2" r:id="rId2"/>
    <sheet name="Feuille de match" sheetId="3" r:id="rId3"/>
    <sheet name="Etiquettes 1" sheetId="4" state="hidden" r:id="rId4"/>
    <sheet name="Etiquettes 2" sheetId="5" state="hidden" r:id="rId5"/>
  </sheets>
  <definedNames>
    <definedName name="_xlnm.Print_Area" localSheetId="3">'Etiquettes 1'!$A$1:$B$11</definedName>
    <definedName name="_xlnm.Print_Area" localSheetId="4">'Etiquettes 2'!$A$1:$B$10</definedName>
    <definedName name="_xlnm.Print_Area" localSheetId="2">'Feuille de match'!$B$1:$O$35</definedName>
    <definedName name="_xlnm.Print_Area" localSheetId="0">'Inscriptions'!$M$2:$O$33</definedName>
    <definedName name="_xlnm.Print_Area" localSheetId="1">'Suivi de rencontre'!$A$3:$K$39</definedName>
  </definedNames>
  <calcPr fullCalcOnLoad="1"/>
</workbook>
</file>

<file path=xl/comments1.xml><?xml version="1.0" encoding="utf-8"?>
<comments xmlns="http://schemas.openxmlformats.org/spreadsheetml/2006/main">
  <authors>
    <author>STORM</author>
    <author>Michel</author>
  </authors>
  <commentList>
    <comment ref="E5" authorId="0">
      <text>
        <r>
          <rPr>
            <b/>
            <sz val="8"/>
            <rFont val="Tahoma"/>
            <family val="0"/>
          </rPr>
          <t xml:space="preserve">DATE :
</t>
        </r>
        <r>
          <rPr>
            <sz val="8"/>
            <rFont val="Tahoma"/>
            <family val="2"/>
          </rPr>
          <t>Inscrire la date sous la forme jj/mm</t>
        </r>
      </text>
    </comment>
    <comment ref="B25" authorId="0">
      <text>
        <r>
          <rPr>
            <b/>
            <u val="single"/>
            <sz val="8"/>
            <color indexed="10"/>
            <rFont val="Tahoma"/>
            <family val="2"/>
          </rPr>
          <t xml:space="preserve">ATTENTION :
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Ce guide de saisie ne fonctionne pas en cas de joueur(s) forfait(s)
</t>
        </r>
      </text>
    </comment>
    <comment ref="D10" authorId="1">
      <text>
        <r>
          <rPr>
            <b/>
            <sz val="11"/>
            <rFont val="Tahoma"/>
            <family val="2"/>
          </rPr>
          <t>Avez-vous saisi la date du tournoi ci-dessus ?</t>
        </r>
        <r>
          <rPr>
            <sz val="9"/>
            <rFont val="Tahoma"/>
            <family val="0"/>
          </rPr>
          <t xml:space="preserve">
</t>
        </r>
      </text>
    </comment>
    <comment ref="D11" authorId="1">
      <text>
        <r>
          <rPr>
            <b/>
            <sz val="11"/>
            <rFont val="Tahoma"/>
            <family val="2"/>
          </rPr>
          <t>Avez-vous renseigné le nom du club recevant ? Et son numéro d'équipe ?</t>
        </r>
        <r>
          <rPr>
            <sz val="9"/>
            <rFont val="Tahoma"/>
            <family val="0"/>
          </rPr>
          <t xml:space="preserve">
</t>
        </r>
      </text>
    </comment>
    <comment ref="D20" authorId="1">
      <text>
        <r>
          <rPr>
            <b/>
            <sz val="11"/>
            <rFont val="Tahoma"/>
            <family val="2"/>
          </rPr>
          <t>Avez-vous saisi le nom du club visiteur et son numéro d'équipe ?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Albert</author>
  </authors>
  <commentList>
    <comment ref="N43" authorId="0">
      <text>
        <r>
          <rPr>
            <b/>
            <u val="single"/>
            <sz val="8"/>
            <rFont val="Tahoma"/>
            <family val="2"/>
          </rPr>
          <t>Coef. de Bonus X 100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exemple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pour  coef. De 1,50
mettre </t>
        </r>
        <r>
          <rPr>
            <b/>
            <sz val="8"/>
            <rFont val="Tahoma"/>
            <family val="2"/>
          </rPr>
          <t>150</t>
        </r>
      </text>
    </comment>
  </commentList>
</comments>
</file>

<file path=xl/comments3.xml><?xml version="1.0" encoding="utf-8"?>
<comments xmlns="http://schemas.openxmlformats.org/spreadsheetml/2006/main">
  <authors>
    <author>Albert</author>
    <author>Michel</author>
  </authors>
  <commentList>
    <comment ref="K5" authorId="0">
      <text>
        <r>
          <rPr>
            <sz val="8"/>
            <rFont val="Tahoma"/>
            <family val="2"/>
          </rPr>
          <t>Bonus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Coef:</t>
        </r>
        <r>
          <rPr>
            <b/>
            <sz val="8"/>
            <rFont val="Tahoma"/>
            <family val="2"/>
          </rPr>
          <t xml:space="preserve"> 100</t>
        </r>
        <r>
          <rPr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sz val="8"/>
            <rFont val="Tahoma"/>
            <family val="2"/>
          </rPr>
          <t>Bonus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Coef:</t>
        </r>
        <r>
          <rPr>
            <b/>
            <sz val="8"/>
            <rFont val="Tahoma"/>
            <family val="2"/>
          </rPr>
          <t xml:space="preserve"> 100</t>
        </r>
        <r>
          <rPr>
            <sz val="8"/>
            <rFont val="Tahoma"/>
            <family val="0"/>
          </rPr>
          <t xml:space="preserve">
</t>
        </r>
      </text>
    </comment>
    <comment ref="K15" authorId="1">
      <text>
        <r>
          <rPr>
            <b/>
            <sz val="12"/>
            <rFont val="Tahoma"/>
            <family val="2"/>
          </rPr>
          <t xml:space="preserve">Si cette zone contient des ?????, vous n'avez pas saisi soit la date de la rencontre ou soit le nom des clubs ou soit le numéro d'équipe
</t>
        </r>
        <r>
          <rPr>
            <sz val="9"/>
            <rFont val="Tahoma"/>
            <family val="0"/>
          </rPr>
          <t xml:space="preserve">
</t>
        </r>
      </text>
    </comment>
    <comment ref="K31" authorId="1">
      <text>
        <r>
          <rPr>
            <b/>
            <sz val="12"/>
            <rFont val="Tahoma"/>
            <family val="2"/>
          </rPr>
          <t xml:space="preserve">Si cette zone contient des ?????, vous n'avez pas saisi soit la date de la rencontre ou soit le nom des clubs ou soit le numéro d'équipe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<sst xmlns="http://schemas.openxmlformats.org/spreadsheetml/2006/main" count="215" uniqueCount="160">
  <si>
    <t>Equipe N°</t>
  </si>
  <si>
    <t>joueur 2</t>
  </si>
  <si>
    <t>joueur 3</t>
  </si>
  <si>
    <t>Nom</t>
  </si>
  <si>
    <t>Prénom</t>
  </si>
  <si>
    <t>MG</t>
  </si>
  <si>
    <t>distance</t>
  </si>
  <si>
    <t>joueur 4</t>
  </si>
  <si>
    <t>joueur 5</t>
  </si>
  <si>
    <t>joueur 6</t>
  </si>
  <si>
    <t>Reprises</t>
  </si>
  <si>
    <t>Tour 1</t>
  </si>
  <si>
    <t>Tour 2</t>
  </si>
  <si>
    <t>Tour 3</t>
  </si>
  <si>
    <t xml:space="preserve"> joueur 1 </t>
  </si>
  <si>
    <t>TOURNOI DES ANCIENS</t>
  </si>
  <si>
    <t>reprises</t>
  </si>
  <si>
    <t>contrat</t>
  </si>
  <si>
    <t>points de jeu</t>
  </si>
  <si>
    <t>points de marque</t>
  </si>
  <si>
    <t>moyenne glissante</t>
  </si>
  <si>
    <t>Points de jeu</t>
  </si>
  <si>
    <t>joueurs</t>
  </si>
  <si>
    <t>TOTAL</t>
  </si>
  <si>
    <t>Moyenne
 rencontre</t>
  </si>
  <si>
    <t>points
de jeu</t>
  </si>
  <si>
    <t xml:space="preserve">Rencontre du  </t>
  </si>
  <si>
    <t>Infos :</t>
  </si>
  <si>
    <t>dist</t>
  </si>
  <si>
    <t>Billard N° 1</t>
  </si>
  <si>
    <t>Billard N° 2</t>
  </si>
  <si>
    <t>Billard N° 3</t>
  </si>
  <si>
    <t>Pour les rencontres se déroulant sur 2 billards seulement, ne pas tenir compte des N° de billard</t>
  </si>
  <si>
    <t>Marquinfo_V2</t>
  </si>
  <si>
    <t>Joueur</t>
  </si>
  <si>
    <t>points de matchs</t>
  </si>
  <si>
    <t>points de bonus</t>
  </si>
  <si>
    <t>Points</t>
  </si>
  <si>
    <t>Points de :</t>
  </si>
  <si>
    <t xml:space="preserve">
contrat</t>
  </si>
  <si>
    <t xml:space="preserve">
bonus</t>
  </si>
  <si>
    <t xml:space="preserve">
victoire</t>
  </si>
  <si>
    <t>Nombre de :</t>
  </si>
  <si>
    <t xml:space="preserve">Moyenne </t>
  </si>
  <si>
    <t xml:space="preserve">de la
rencontre </t>
  </si>
  <si>
    <t>victoire</t>
  </si>
  <si>
    <t>totaux :</t>
  </si>
  <si>
    <t>BEYNES</t>
  </si>
  <si>
    <t>BUCHELAY</t>
  </si>
  <si>
    <t>CONFLANS</t>
  </si>
  <si>
    <t>GARGENVILLE</t>
  </si>
  <si>
    <t>VERNOUILLET</t>
  </si>
  <si>
    <t>VERSAILLES</t>
  </si>
  <si>
    <t>VOISINS</t>
  </si>
  <si>
    <t>VELIZY</t>
  </si>
  <si>
    <r>
      <t>numéros des équipes</t>
    </r>
    <r>
      <rPr>
        <sz val="10"/>
        <rFont val="Arial"/>
        <family val="0"/>
      </rPr>
      <t>, si seule dans le Club, laisser vide</t>
    </r>
  </si>
  <si>
    <t>Club recevant</t>
  </si>
  <si>
    <t>REGLEMENT</t>
  </si>
  <si>
    <t>Rencontre du :</t>
  </si>
  <si>
    <t>Observations Capitaine</t>
  </si>
  <si>
    <t>Détection
double erreur</t>
  </si>
  <si>
    <t>Détection
d'une erreur</t>
  </si>
  <si>
    <t>si match</t>
  </si>
  <si>
    <t>gagné</t>
  </si>
  <si>
    <t>nul</t>
  </si>
  <si>
    <t>perdu</t>
  </si>
  <si>
    <t>Bonus en points</t>
  </si>
  <si>
    <t>Les matchs gagnés par forfait ne donnent pas droit à ce supplément de points.</t>
  </si>
  <si>
    <t>1/ Saisir les 2 tableaux ci-dessus dans les zones roses à l'aide de la convocation</t>
  </si>
  <si>
    <t>Depuis la saison 2001-2002 :</t>
  </si>
  <si>
    <t>COMMENTAIRES</t>
  </si>
  <si>
    <t>Exemples :</t>
  </si>
  <si>
    <t xml:space="preserve">1 FORFAIT équipe adverse --&gt; ne rien mettre </t>
  </si>
  <si>
    <t xml:space="preserve">2 FORFAITS équipe adverse --&gt; ne rien mettre </t>
  </si>
  <si>
    <t xml:space="preserve">3 FORFAITS équipe adverse --&gt; ne rien mettre </t>
  </si>
  <si>
    <t>Idem pour votre équipe :</t>
  </si>
  <si>
    <t xml:space="preserve">1 FORFAIT équipe recevant --&gt; ne rien mettre </t>
  </si>
  <si>
    <t xml:space="preserve">2 FORFAITS équipe recevant --&gt; ne rien mettre </t>
  </si>
  <si>
    <t xml:space="preserve">3 FORFAITS équipe recevant --&gt; ne rien mettre </t>
  </si>
  <si>
    <t>0 si ligne complète</t>
  </si>
  <si>
    <t>Club visiteur</t>
  </si>
  <si>
    <r>
      <t xml:space="preserve">Nom du Club visiteur </t>
    </r>
    <r>
      <rPr>
        <sz val="10"/>
        <rFont val="Arial"/>
        <family val="2"/>
      </rPr>
      <t>(choisir dans la liste déroulante)</t>
    </r>
  </si>
  <si>
    <t xml:space="preserve"> votre N° d'équipe si plusieurs équipes engagées</t>
  </si>
  <si>
    <t xml:space="preserve"> et tous les renseignements le concernant</t>
  </si>
  <si>
    <t xml:space="preserve">Saisir le Nom du </t>
  </si>
  <si>
    <t>Club visiteur et son N° d'équipe si nécéssaire</t>
  </si>
  <si>
    <t xml:space="preserve">Prénom moyenne et distance du </t>
  </si>
  <si>
    <r>
      <t xml:space="preserve">   N° d'équipe</t>
    </r>
    <r>
      <rPr>
        <sz val="10"/>
        <rFont val="Arial"/>
        <family val="0"/>
      </rPr>
      <t xml:space="preserve"> si plus d'1 équipe engagée, sinon</t>
    </r>
  </si>
  <si>
    <t xml:space="preserve"> joueur 1</t>
  </si>
  <si>
    <t>SAISIE TERMINEE - Contrôlez, complétez si nécéssaire et</t>
  </si>
  <si>
    <t>ATTENTION : vous n'avez pas saisi le Nom du Club visiteur</t>
  </si>
  <si>
    <t xml:space="preserve"> terminé</t>
  </si>
  <si>
    <t xml:space="preserve">Saisie de </t>
  </si>
  <si>
    <t>Cliquez sur le bouton IMPRIMER suivi de rencontre</t>
  </si>
  <si>
    <t>La saisie n'est pas terminée</t>
  </si>
  <si>
    <t>Pour retourner  à la saisie,</t>
  </si>
  <si>
    <t>Cliquez ici</t>
  </si>
  <si>
    <t>En cas d' 1 ou plusieurs forfaits</t>
  </si>
  <si>
    <t>CONSIGNES DE SAISIE</t>
  </si>
  <si>
    <t>L'acquisition des points de forfait sera automatique.</t>
  </si>
  <si>
    <t xml:space="preserve"> ni aucun des renseignements concernant ces joueurs.</t>
  </si>
  <si>
    <t>Pour les FORFAITS, ne pas inscrire le nom des joueurs absents,</t>
  </si>
  <si>
    <t>2/ Mettre l'imprimante sous tension, et cliquer sur le bouton "IMPRIMER le suivi de rencontre"</t>
  </si>
  <si>
    <t>pour connaître la marche à suivre</t>
  </si>
  <si>
    <t>Noms, Prénoms, Moyennes glissantes (MG), Distances</t>
  </si>
  <si>
    <r>
      <t xml:space="preserve"> A la fin de la saisie des résultats, cliquer sur le bouton "</t>
    </r>
    <r>
      <rPr>
        <b/>
        <sz val="11"/>
        <rFont val="Arial"/>
        <family val="0"/>
      </rPr>
      <t>VOIR</t>
    </r>
    <r>
      <rPr>
        <sz val="11"/>
        <rFont val="Arial"/>
        <family val="0"/>
      </rPr>
      <t xml:space="preserve"> la feuille de match" et </t>
    </r>
    <r>
      <rPr>
        <u val="single"/>
        <sz val="11"/>
        <rFont val="Arial"/>
        <family val="0"/>
      </rPr>
      <t>la contrôler</t>
    </r>
    <r>
      <rPr>
        <sz val="11"/>
        <rFont val="Arial"/>
        <family val="0"/>
      </rPr>
      <t>.</t>
    </r>
  </si>
  <si>
    <t>Télécharger le</t>
  </si>
  <si>
    <t>sur internet</t>
  </si>
  <si>
    <t>Conservez ce document comme trace de vos résultats</t>
  </si>
  <si>
    <t>Les tours à respecter seront imprimés sur ce document.Vous pourrez y noter les résultats</t>
  </si>
  <si>
    <r>
      <t xml:space="preserve">3/ A la fin de la rencontre saisir vos résultats dans le suivi de rencontre </t>
    </r>
    <r>
      <rPr>
        <sz val="10"/>
        <rFont val="Arial"/>
        <family val="2"/>
      </rPr>
      <t>(Col. G et H)</t>
    </r>
  </si>
  <si>
    <r>
      <t xml:space="preserve">4/ Contrôlez la feuille de match et envoyez les résultats </t>
    </r>
    <r>
      <rPr>
        <sz val="10"/>
        <rFont val="Arial"/>
        <family val="2"/>
      </rPr>
      <t>(Onglet "Envoyer par e-mail")</t>
    </r>
  </si>
  <si>
    <t>moyenne rencontre</t>
  </si>
  <si>
    <t>IMPRIMER les étiquettes</t>
  </si>
  <si>
    <t>06 74 00 77 26</t>
  </si>
  <si>
    <t xml:space="preserve">contrôlez dans votre dossier </t>
  </si>
  <si>
    <t>des messages "envoyés", que :</t>
  </si>
  <si>
    <t>- celui-ci est bien parti</t>
  </si>
  <si>
    <t>- est parti à la bonne adresse</t>
  </si>
  <si>
    <t xml:space="preserve">En cas d'impossibilité de transmission  </t>
  </si>
  <si>
    <t>au</t>
  </si>
  <si>
    <t>appelez immédiatement Michel POTTIER</t>
  </si>
  <si>
    <t>resultats@jeudiscarambole.fr</t>
  </si>
  <si>
    <t xml:space="preserve">Dès la fin de la rencontre, expédier </t>
  </si>
  <si>
    <t>ou</t>
  </si>
  <si>
    <t>utilisez l'onglet "Envoyer par e-mail"</t>
  </si>
  <si>
    <t>le fichier en pièce jointe</t>
  </si>
  <si>
    <t xml:space="preserve">si un client de messagerie est </t>
  </si>
  <si>
    <t xml:space="preserve"> configuré sur votre micro</t>
  </si>
  <si>
    <t>Après expédition en pièce jointe</t>
  </si>
  <si>
    <t>à</t>
  </si>
  <si>
    <t>Consignes de transmission</t>
  </si>
  <si>
    <t>Michel POTTIER   4 square de Tocqueville   78150 LE CHESNAY</t>
  </si>
  <si>
    <t xml:space="preserve"> </t>
  </si>
  <si>
    <t>Année</t>
  </si>
  <si>
    <t>mois</t>
  </si>
  <si>
    <t>jour</t>
  </si>
  <si>
    <t>date du jour</t>
  </si>
  <si>
    <t>Dates tournoi</t>
  </si>
  <si>
    <t>début &gt;</t>
  </si>
  <si>
    <t>fin &lt;</t>
  </si>
  <si>
    <t>Depuis la saison 2009-2010 :</t>
  </si>
  <si>
    <t>points</t>
  </si>
  <si>
    <t>mimimum</t>
  </si>
  <si>
    <t>maximum</t>
  </si>
  <si>
    <t>Handicap</t>
  </si>
  <si>
    <t>Moyennes</t>
  </si>
  <si>
    <t>Jusqu'à :</t>
  </si>
  <si>
    <t>pour :</t>
  </si>
  <si>
    <t>Infos de Version :</t>
  </si>
  <si>
    <t>8.1</t>
  </si>
  <si>
    <t>Augmentation moyennes et distances jusqu'à 20,125 et 222 points</t>
  </si>
  <si>
    <t>9.0</t>
  </si>
  <si>
    <t>Modifs sur points de bonus avec proratisation au % du contrat</t>
  </si>
  <si>
    <t>Modifs sur nombre de points de victoire : 20/10/0</t>
  </si>
  <si>
    <t>Grands coins</t>
  </si>
  <si>
    <t>Si MG &gt; à</t>
  </si>
  <si>
    <t>11.00</t>
  </si>
  <si>
    <t>Coefficient maximum de bonus abaissé à 50.</t>
  </si>
  <si>
    <t>Version 2022.0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</si>
</sst>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d\-mmm\-yy"/>
    <numFmt numFmtId="178" formatCode="\ "/>
    <numFmt numFmtId="179" formatCode="d/m/yy"/>
    <numFmt numFmtId="180" formatCode="d\ mmmm\ yyyy"/>
    <numFmt numFmtId="181" formatCode="[$-40C]dddd\ d\ mmmm\ yyyy"/>
    <numFmt numFmtId="182" formatCode="mmm\-yyyy"/>
    <numFmt numFmtId="183" formatCode="d/m/yy;@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color indexed="10"/>
      <name val="Arial"/>
      <family val="2"/>
    </font>
    <font>
      <sz val="10"/>
      <color indexed="10"/>
      <name val="Arial"/>
      <family val="0"/>
    </font>
    <font>
      <sz val="7"/>
      <name val="Arial"/>
      <family val="0"/>
    </font>
    <font>
      <u val="single"/>
      <sz val="10"/>
      <name val="Arial"/>
      <family val="0"/>
    </font>
    <font>
      <sz val="12"/>
      <color indexed="10"/>
      <name val="Arial"/>
      <family val="2"/>
    </font>
    <font>
      <b/>
      <u val="single"/>
      <sz val="8"/>
      <color indexed="10"/>
      <name val="Tahoma"/>
      <family val="2"/>
    </font>
    <font>
      <sz val="11"/>
      <name val="Arial"/>
      <family val="0"/>
    </font>
    <font>
      <b/>
      <sz val="11"/>
      <name val="Arial"/>
      <family val="0"/>
    </font>
    <font>
      <u val="single"/>
      <sz val="11"/>
      <name val="Arial"/>
      <family val="0"/>
    </font>
    <font>
      <sz val="60"/>
      <name val="Arial Black"/>
      <family val="2"/>
    </font>
    <font>
      <sz val="60"/>
      <name val="Arial"/>
      <family val="0"/>
    </font>
    <font>
      <b/>
      <sz val="56"/>
      <name val="Arial"/>
      <family val="2"/>
    </font>
    <font>
      <sz val="11"/>
      <color indexed="10"/>
      <name val="Arial"/>
      <family val="2"/>
    </font>
    <font>
      <b/>
      <u val="single"/>
      <sz val="8"/>
      <name val="Tahoma"/>
      <family val="2"/>
    </font>
    <font>
      <b/>
      <sz val="76"/>
      <name val="Futura BdCn BT"/>
      <family val="2"/>
    </font>
    <font>
      <u val="single"/>
      <sz val="14"/>
      <name val="Arial"/>
      <family val="0"/>
    </font>
    <font>
      <b/>
      <u val="single"/>
      <sz val="8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b/>
      <sz val="12"/>
      <color indexed="10"/>
      <name val="Arial"/>
      <family val="2"/>
    </font>
    <font>
      <sz val="9"/>
      <name val="Tahoma"/>
      <family val="0"/>
    </font>
    <font>
      <b/>
      <sz val="11"/>
      <name val="Tahoma"/>
      <family val="2"/>
    </font>
    <font>
      <b/>
      <sz val="18"/>
      <color indexed="10"/>
      <name val="Arial"/>
      <family val="2"/>
    </font>
    <font>
      <b/>
      <sz val="12"/>
      <name val="Tahoma"/>
      <family val="2"/>
    </font>
    <font>
      <sz val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>
        <color indexed="22"/>
      </left>
      <right>
        <color indexed="63"/>
      </right>
      <top>
        <color indexed="63"/>
      </top>
      <bottom style="hair"/>
    </border>
    <border>
      <left style="thin">
        <color indexed="22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22"/>
      </right>
      <top style="hair"/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9" borderId="0" xfId="0" applyFill="1" applyAlignment="1">
      <alignment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center" wrapText="1"/>
    </xf>
    <xf numFmtId="0" fontId="0" fillId="9" borderId="3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3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3" fillId="9" borderId="0" xfId="0" applyFont="1" applyFill="1" applyAlignment="1">
      <alignment/>
    </xf>
    <xf numFmtId="0" fontId="0" fillId="9" borderId="9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9" borderId="12" xfId="0" applyFill="1" applyBorder="1" applyAlignment="1">
      <alignment/>
    </xf>
    <xf numFmtId="0" fontId="0" fillId="0" borderId="9" xfId="0" applyBorder="1" applyAlignment="1">
      <alignment/>
    </xf>
    <xf numFmtId="0" fontId="0" fillId="9" borderId="13" xfId="0" applyFill="1" applyBorder="1" applyAlignment="1">
      <alignment/>
    </xf>
    <xf numFmtId="0" fontId="1" fillId="9" borderId="9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8" borderId="0" xfId="0" applyFill="1" applyBorder="1" applyAlignment="1">
      <alignment horizontal="left"/>
    </xf>
    <xf numFmtId="177" fontId="5" fillId="9" borderId="0" xfId="0" applyNumberFormat="1" applyFont="1" applyFill="1" applyAlignment="1">
      <alignment horizontal="right"/>
    </xf>
    <xf numFmtId="0" fontId="0" fillId="9" borderId="2" xfId="0" applyFill="1" applyBorder="1" applyAlignment="1">
      <alignment/>
    </xf>
    <xf numFmtId="0" fontId="8" fillId="9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/>
    </xf>
    <xf numFmtId="0" fontId="5" fillId="9" borderId="0" xfId="0" applyFont="1" applyFill="1" applyBorder="1" applyAlignment="1">
      <alignment horizontal="center"/>
    </xf>
    <xf numFmtId="2" fontId="5" fillId="9" borderId="0" xfId="0" applyNumberFormat="1" applyFont="1" applyFill="1" applyBorder="1" applyAlignment="1">
      <alignment horizontal="center"/>
    </xf>
    <xf numFmtId="0" fontId="0" fillId="9" borderId="15" xfId="0" applyFill="1" applyBorder="1" applyAlignment="1">
      <alignment vertical="center"/>
    </xf>
    <xf numFmtId="0" fontId="0" fillId="9" borderId="15" xfId="0" applyFill="1" applyBorder="1" applyAlignment="1">
      <alignment horizontal="center" vertical="center" wrapText="1"/>
    </xf>
    <xf numFmtId="0" fontId="0" fillId="9" borderId="3" xfId="0" applyFont="1" applyFill="1" applyBorder="1" applyAlignment="1">
      <alignment/>
    </xf>
    <xf numFmtId="0" fontId="0" fillId="9" borderId="7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0" fillId="9" borderId="6" xfId="0" applyFont="1" applyFill="1" applyBorder="1" applyAlignment="1">
      <alignment horizontal="center"/>
    </xf>
    <xf numFmtId="0" fontId="0" fillId="9" borderId="4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1" fillId="9" borderId="0" xfId="0" applyFont="1" applyFill="1" applyAlignment="1">
      <alignment/>
    </xf>
    <xf numFmtId="0" fontId="0" fillId="9" borderId="6" xfId="0" applyFill="1" applyBorder="1" applyAlignment="1">
      <alignment horizontal="center"/>
    </xf>
    <xf numFmtId="178" fontId="0" fillId="9" borderId="0" xfId="0" applyNumberFormat="1" applyFill="1" applyBorder="1" applyAlignment="1">
      <alignment/>
    </xf>
    <xf numFmtId="178" fontId="0" fillId="9" borderId="1" xfId="0" applyNumberFormat="1" applyFill="1" applyBorder="1" applyAlignment="1">
      <alignment/>
    </xf>
    <xf numFmtId="0" fontId="0" fillId="8" borderId="6" xfId="0" applyFill="1" applyBorder="1" applyAlignment="1">
      <alignment horizontal="center"/>
    </xf>
    <xf numFmtId="178" fontId="0" fillId="8" borderId="4" xfId="0" applyNumberFormat="1" applyFill="1" applyBorder="1" applyAlignment="1">
      <alignment/>
    </xf>
    <xf numFmtId="178" fontId="0" fillId="8" borderId="8" xfId="0" applyNumberFormat="1" applyFill="1" applyBorder="1" applyAlignment="1">
      <alignment/>
    </xf>
    <xf numFmtId="0" fontId="0" fillId="9" borderId="0" xfId="0" applyNumberFormat="1" applyFill="1" applyBorder="1" applyAlignment="1">
      <alignment horizontal="center"/>
    </xf>
    <xf numFmtId="2" fontId="12" fillId="8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9" borderId="0" xfId="0" applyFont="1" applyFill="1" applyAlignment="1">
      <alignment horizontal="left"/>
    </xf>
    <xf numFmtId="0" fontId="1" fillId="9" borderId="0" xfId="0" applyFont="1" applyFill="1" applyAlignment="1">
      <alignment horizontal="left"/>
    </xf>
    <xf numFmtId="0" fontId="0" fillId="8" borderId="0" xfId="0" applyFont="1" applyFill="1" applyBorder="1" applyAlignment="1">
      <alignment horizontal="left"/>
    </xf>
    <xf numFmtId="0" fontId="11" fillId="9" borderId="0" xfId="0" applyFont="1" applyFill="1" applyAlignment="1">
      <alignment/>
    </xf>
    <xf numFmtId="0" fontId="11" fillId="9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178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wrapText="1"/>
    </xf>
    <xf numFmtId="0" fontId="14" fillId="9" borderId="0" xfId="0" applyFont="1" applyFill="1" applyAlignment="1">
      <alignment horizontal="center"/>
    </xf>
    <xf numFmtId="0" fontId="0" fillId="10" borderId="0" xfId="0" applyFont="1" applyFill="1" applyBorder="1" applyAlignment="1" applyProtection="1">
      <alignment/>
      <protection locked="0"/>
    </xf>
    <xf numFmtId="2" fontId="0" fillId="10" borderId="0" xfId="0" applyNumberFormat="1" applyFont="1" applyFill="1" applyBorder="1" applyAlignment="1" applyProtection="1">
      <alignment horizontal="center"/>
      <protection locked="0"/>
    </xf>
    <xf numFmtId="0" fontId="0" fillId="10" borderId="1" xfId="0" applyFont="1" applyFill="1" applyBorder="1" applyAlignment="1" applyProtection="1">
      <alignment/>
      <protection locked="0"/>
    </xf>
    <xf numFmtId="0" fontId="0" fillId="9" borderId="1" xfId="0" applyFill="1" applyBorder="1" applyAlignment="1">
      <alignment horizontal="center" vertical="center" textRotation="90"/>
    </xf>
    <xf numFmtId="0" fontId="0" fillId="9" borderId="0" xfId="0" applyFill="1" applyBorder="1" applyAlignment="1">
      <alignment horizontal="center" vertical="center"/>
    </xf>
    <xf numFmtId="0" fontId="3" fillId="9" borderId="0" xfId="0" applyFont="1" applyFill="1" applyAlignment="1">
      <alignment horizontal="right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9" borderId="1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15" fillId="9" borderId="0" xfId="0" applyFont="1" applyFill="1" applyAlignment="1">
      <alignment/>
    </xf>
    <xf numFmtId="1" fontId="15" fillId="9" borderId="0" xfId="0" applyNumberFormat="1" applyFont="1" applyFill="1" applyAlignment="1">
      <alignment horizontal="left"/>
    </xf>
    <xf numFmtId="0" fontId="9" fillId="9" borderId="0" xfId="0" applyFont="1" applyFill="1" applyAlignment="1">
      <alignment/>
    </xf>
    <xf numFmtId="2" fontId="16" fillId="8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0" fontId="15" fillId="9" borderId="0" xfId="0" applyFont="1" applyFill="1" applyAlignment="1">
      <alignment horizontal="left"/>
    </xf>
    <xf numFmtId="2" fontId="15" fillId="9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9" borderId="0" xfId="0" applyFont="1" applyFill="1" applyAlignment="1">
      <alignment horizontal="left"/>
    </xf>
    <xf numFmtId="0" fontId="0" fillId="9" borderId="0" xfId="0" applyFill="1" applyAlignment="1">
      <alignment horizontal="right"/>
    </xf>
    <xf numFmtId="0" fontId="0" fillId="0" borderId="10" xfId="0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0" fillId="9" borderId="0" xfId="0" applyFill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9" borderId="1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9" fillId="9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/>
    </xf>
    <xf numFmtId="2" fontId="5" fillId="9" borderId="23" xfId="0" applyNumberFormat="1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0" xfId="0" applyFont="1" applyAlignment="1">
      <alignment horizontal="center" vertical="top"/>
    </xf>
    <xf numFmtId="0" fontId="2" fillId="9" borderId="0" xfId="0" applyFont="1" applyFill="1" applyBorder="1" applyAlignment="1">
      <alignment horizontal="center"/>
    </xf>
    <xf numFmtId="2" fontId="2" fillId="9" borderId="0" xfId="0" applyNumberFormat="1" applyFont="1" applyFill="1" applyBorder="1" applyAlignment="1">
      <alignment horizontal="center"/>
    </xf>
    <xf numFmtId="2" fontId="2" fillId="9" borderId="21" xfId="0" applyNumberFormat="1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1" fillId="9" borderId="0" xfId="0" applyFont="1" applyFill="1" applyAlignment="1">
      <alignment horizontal="center" vertical="center"/>
    </xf>
    <xf numFmtId="0" fontId="9" fillId="9" borderId="4" xfId="0" applyFont="1" applyFill="1" applyBorder="1" applyAlignment="1">
      <alignment horizontal="center" vertical="top"/>
    </xf>
    <xf numFmtId="0" fontId="0" fillId="9" borderId="27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 wrapText="1"/>
    </xf>
    <xf numFmtId="0" fontId="0" fillId="9" borderId="31" xfId="0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0" fillId="9" borderId="0" xfId="0" applyFill="1" applyAlignment="1" applyProtection="1">
      <alignment/>
      <protection/>
    </xf>
    <xf numFmtId="0" fontId="12" fillId="9" borderId="4" xfId="0" applyFont="1" applyFill="1" applyBorder="1" applyAlignment="1">
      <alignment horizontal="center" vertic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12" fillId="9" borderId="0" xfId="0" applyFont="1" applyFill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9" borderId="0" xfId="0" applyFont="1" applyFill="1" applyAlignment="1">
      <alignment horizontal="left"/>
    </xf>
    <xf numFmtId="0" fontId="23" fillId="9" borderId="0" xfId="0" applyFont="1" applyFill="1" applyBorder="1" applyAlignment="1">
      <alignment horizontal="center"/>
    </xf>
    <xf numFmtId="0" fontId="23" fillId="9" borderId="4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>
      <alignment/>
    </xf>
    <xf numFmtId="0" fontId="25" fillId="9" borderId="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9" borderId="0" xfId="0" applyFill="1" applyAlignment="1">
      <alignment horizontal="left" vertical="center"/>
    </xf>
    <xf numFmtId="0" fontId="0" fillId="9" borderId="19" xfId="0" applyFont="1" applyFill="1" applyBorder="1" applyAlignment="1">
      <alignment horizontal="right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10" borderId="17" xfId="0" applyFont="1" applyFill="1" applyBorder="1" applyAlignment="1" applyProtection="1">
      <alignment horizontal="left"/>
      <protection locked="0"/>
    </xf>
    <xf numFmtId="0" fontId="0" fillId="0" borderId="19" xfId="0" applyBorder="1" applyAlignment="1">
      <alignment horizontal="right"/>
    </xf>
    <xf numFmtId="0" fontId="8" fillId="9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" fillId="9" borderId="0" xfId="0" applyFont="1" applyFill="1" applyAlignment="1">
      <alignment/>
    </xf>
    <xf numFmtId="0" fontId="9" fillId="9" borderId="0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9" borderId="3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5" xfId="0" applyFill="1" applyBorder="1" applyAlignment="1">
      <alignment horizontal="left"/>
    </xf>
    <xf numFmtId="0" fontId="23" fillId="9" borderId="2" xfId="0" applyFont="1" applyFill="1" applyBorder="1" applyAlignment="1">
      <alignment horizontal="left"/>
    </xf>
    <xf numFmtId="0" fontId="0" fillId="9" borderId="8" xfId="0" applyFill="1" applyBorder="1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0" fontId="12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9" borderId="0" xfId="0" applyFill="1" applyBorder="1" applyAlignment="1" applyProtection="1">
      <alignment horizontal="center" vertical="top"/>
      <protection/>
    </xf>
    <xf numFmtId="0" fontId="12" fillId="9" borderId="0" xfId="0" applyFont="1" applyFill="1" applyBorder="1" applyAlignment="1" applyProtection="1">
      <alignment horizontal="center"/>
      <protection/>
    </xf>
    <xf numFmtId="0" fontId="23" fillId="9" borderId="0" xfId="0" applyFont="1" applyFill="1" applyBorder="1" applyAlignment="1" applyProtection="1">
      <alignment horizontal="center"/>
      <protection/>
    </xf>
    <xf numFmtId="0" fontId="23" fillId="9" borderId="0" xfId="0" applyFont="1" applyFill="1" applyBorder="1" applyAlignment="1" applyProtection="1">
      <alignment horizontal="left"/>
      <protection/>
    </xf>
    <xf numFmtId="0" fontId="0" fillId="9" borderId="0" xfId="0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9" borderId="10" xfId="0" applyFill="1" applyBorder="1" applyAlignment="1">
      <alignment horizontal="center"/>
    </xf>
    <xf numFmtId="0" fontId="9" fillId="9" borderId="10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16" xfId="0" applyFont="1" applyFill="1" applyBorder="1" applyAlignment="1">
      <alignment horizontal="right" vertical="center"/>
    </xf>
    <xf numFmtId="2" fontId="17" fillId="0" borderId="16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9" xfId="0" applyFill="1" applyBorder="1" applyAlignment="1">
      <alignment/>
    </xf>
    <xf numFmtId="0" fontId="9" fillId="9" borderId="4" xfId="0" applyFont="1" applyFill="1" applyBorder="1" applyAlignment="1">
      <alignment/>
    </xf>
    <xf numFmtId="0" fontId="0" fillId="9" borderId="41" xfId="0" applyFill="1" applyBorder="1" applyAlignment="1">
      <alignment horizontal="center"/>
    </xf>
    <xf numFmtId="0" fontId="0" fillId="9" borderId="0" xfId="0" applyFill="1" applyBorder="1" applyAlignment="1" applyProtection="1">
      <alignment horizontal="center"/>
      <protection/>
    </xf>
    <xf numFmtId="0" fontId="0" fillId="9" borderId="11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40" xfId="0" applyFill="1" applyBorder="1" applyAlignment="1">
      <alignment/>
    </xf>
    <xf numFmtId="0" fontId="5" fillId="9" borderId="0" xfId="0" applyFont="1" applyFill="1" applyAlignment="1">
      <alignment/>
    </xf>
    <xf numFmtId="0" fontId="2" fillId="9" borderId="0" xfId="0" applyFont="1" applyFill="1" applyAlignment="1">
      <alignment/>
    </xf>
    <xf numFmtId="0" fontId="5" fillId="9" borderId="0" xfId="0" applyFont="1" applyFill="1" applyAlignment="1">
      <alignment horizontal="left"/>
    </xf>
    <xf numFmtId="0" fontId="31" fillId="0" borderId="18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3" fillId="0" borderId="17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0" fillId="0" borderId="12" xfId="0" applyBorder="1" applyAlignment="1">
      <alignment/>
    </xf>
    <xf numFmtId="0" fontId="34" fillId="8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15" fillId="9" borderId="9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" fontId="15" fillId="9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8" fillId="9" borderId="0" xfId="15" applyFill="1" applyAlignment="1" applyProtection="1">
      <alignment vertic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7" fillId="9" borderId="0" xfId="0" applyFont="1" applyFill="1" applyAlignment="1">
      <alignment horizontal="center"/>
    </xf>
    <xf numFmtId="0" fontId="28" fillId="9" borderId="0" xfId="0" applyFont="1" applyFill="1" applyAlignment="1">
      <alignment/>
    </xf>
    <xf numFmtId="0" fontId="28" fillId="0" borderId="0" xfId="0" applyFont="1" applyAlignment="1">
      <alignment/>
    </xf>
    <xf numFmtId="0" fontId="2" fillId="9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9" borderId="0" xfId="0" applyFont="1" applyFill="1" applyAlignment="1">
      <alignment horizontal="center" wrapText="1"/>
    </xf>
    <xf numFmtId="0" fontId="37" fillId="9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0" fontId="28" fillId="0" borderId="0" xfId="0" applyFont="1" applyAlignment="1" quotePrefix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3" xfId="0" applyFont="1" applyBorder="1" applyAlignment="1">
      <alignment/>
    </xf>
    <xf numFmtId="1" fontId="0" fillId="0" borderId="0" xfId="0" applyNumberForma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9" xfId="0" applyFill="1" applyBorder="1" applyAlignment="1">
      <alignment/>
    </xf>
    <xf numFmtId="0" fontId="9" fillId="9" borderId="0" xfId="0" applyFont="1" applyFill="1" applyAlignment="1" applyProtection="1">
      <alignment horizontal="center" vertical="top"/>
      <protection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9" borderId="4" xfId="0" applyFill="1" applyBorder="1" applyAlignment="1" applyProtection="1">
      <alignment/>
      <protection locked="0"/>
    </xf>
    <xf numFmtId="0" fontId="9" fillId="6" borderId="10" xfId="0" applyFont="1" applyFill="1" applyBorder="1" applyAlignment="1">
      <alignment/>
    </xf>
    <xf numFmtId="0" fontId="9" fillId="6" borderId="11" xfId="0" applyFont="1" applyFill="1" applyBorder="1" applyAlignment="1">
      <alignment/>
    </xf>
    <xf numFmtId="0" fontId="9" fillId="6" borderId="16" xfId="0" applyFont="1" applyFill="1" applyBorder="1" applyAlignment="1">
      <alignment/>
    </xf>
    <xf numFmtId="14" fontId="9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9" fillId="6" borderId="12" xfId="0" applyFont="1" applyFill="1" applyBorder="1" applyAlignment="1">
      <alignment/>
    </xf>
    <xf numFmtId="0" fontId="9" fillId="6" borderId="38" xfId="0" applyFont="1" applyFill="1" applyBorder="1" applyAlignment="1">
      <alignment/>
    </xf>
    <xf numFmtId="0" fontId="9" fillId="6" borderId="9" xfId="0" applyFont="1" applyFill="1" applyBorder="1" applyAlignment="1">
      <alignment/>
    </xf>
    <xf numFmtId="0" fontId="9" fillId="6" borderId="13" xfId="0" applyFont="1" applyFill="1" applyBorder="1" applyAlignment="1">
      <alignment/>
    </xf>
    <xf numFmtId="0" fontId="38" fillId="6" borderId="14" xfId="0" applyFont="1" applyFill="1" applyBorder="1" applyAlignment="1">
      <alignment/>
    </xf>
    <xf numFmtId="0" fontId="13" fillId="6" borderId="16" xfId="0" applyFont="1" applyFill="1" applyBorder="1" applyAlignment="1">
      <alignment horizontal="center"/>
    </xf>
    <xf numFmtId="0" fontId="8" fillId="11" borderId="0" xfId="0" applyFont="1" applyFill="1" applyAlignment="1">
      <alignment horizontal="center"/>
    </xf>
    <xf numFmtId="1" fontId="8" fillId="11" borderId="0" xfId="0" applyNumberFormat="1" applyFont="1" applyFill="1" applyAlignment="1" applyProtection="1">
      <alignment horizontal="center"/>
      <protection locked="0"/>
    </xf>
    <xf numFmtId="0" fontId="1" fillId="11" borderId="0" xfId="0" applyFont="1" applyFill="1" applyAlignment="1">
      <alignment horizontal="center"/>
    </xf>
    <xf numFmtId="0" fontId="16" fillId="9" borderId="2" xfId="0" applyFont="1" applyFill="1" applyBorder="1" applyAlignment="1">
      <alignment horizontal="center"/>
    </xf>
    <xf numFmtId="0" fontId="41" fillId="9" borderId="0" xfId="0" applyFont="1" applyFill="1" applyBorder="1" applyAlignment="1">
      <alignment/>
    </xf>
    <xf numFmtId="0" fontId="23" fillId="9" borderId="0" xfId="0" applyNumberFormat="1" applyFont="1" applyFill="1" applyBorder="1" applyAlignment="1">
      <alignment horizontal="center"/>
    </xf>
    <xf numFmtId="0" fontId="44" fillId="9" borderId="0" xfId="15" applyFont="1" applyFill="1" applyAlignment="1" applyProtection="1">
      <alignment/>
      <protection/>
    </xf>
    <xf numFmtId="49" fontId="13" fillId="6" borderId="16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6" fillId="4" borderId="45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9" borderId="4" xfId="0" applyFill="1" applyBorder="1" applyAlignment="1">
      <alignment horizontal="center"/>
    </xf>
    <xf numFmtId="0" fontId="26" fillId="4" borderId="46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4" fillId="9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4" fontId="0" fillId="4" borderId="36" xfId="0" applyNumberFormat="1" applyFont="1" applyFill="1" applyBorder="1" applyAlignment="1" applyProtection="1">
      <alignment horizontal="center"/>
      <protection locked="0"/>
    </xf>
    <xf numFmtId="14" fontId="0" fillId="4" borderId="37" xfId="0" applyNumberFormat="1" applyFont="1" applyFill="1" applyBorder="1" applyAlignment="1" applyProtection="1">
      <alignment horizontal="center"/>
      <protection locked="0"/>
    </xf>
    <xf numFmtId="0" fontId="26" fillId="4" borderId="10" xfId="0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18" fillId="6" borderId="16" xfId="15" applyFill="1" applyBorder="1" applyAlignment="1" applyProtection="1">
      <alignment horizontal="center"/>
      <protection locked="0"/>
    </xf>
    <xf numFmtId="0" fontId="18" fillId="6" borderId="50" xfId="15" applyFill="1" applyBorder="1" applyAlignment="1" applyProtection="1">
      <alignment horizontal="center"/>
      <protection locked="0"/>
    </xf>
    <xf numFmtId="0" fontId="39" fillId="8" borderId="0" xfId="0" applyFont="1" applyFill="1" applyAlignment="1">
      <alignment horizontal="center" vertical="center"/>
    </xf>
    <xf numFmtId="1" fontId="40" fillId="8" borderId="0" xfId="0" applyNumberFormat="1" applyFont="1" applyFill="1" applyAlignment="1" applyProtection="1">
      <alignment horizontal="center"/>
      <protection/>
    </xf>
    <xf numFmtId="0" fontId="9" fillId="9" borderId="0" xfId="0" applyFont="1" applyFill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15" applyAlignment="1" applyProtection="1">
      <alignment/>
      <protection locked="0"/>
    </xf>
    <xf numFmtId="0" fontId="14" fillId="9" borderId="2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 vertical="center"/>
    </xf>
    <xf numFmtId="0" fontId="1" fillId="4" borderId="51" xfId="0" applyFont="1" applyFill="1" applyBorder="1" applyAlignment="1">
      <alignment horizontal="left" vertical="center"/>
    </xf>
    <xf numFmtId="0" fontId="0" fillId="8" borderId="3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9" fillId="9" borderId="0" xfId="0" applyFont="1" applyFill="1" applyAlignment="1">
      <alignment horizontal="center"/>
    </xf>
    <xf numFmtId="0" fontId="0" fillId="8" borderId="5" xfId="0" applyFill="1" applyBorder="1" applyAlignment="1">
      <alignment horizontal="center"/>
    </xf>
    <xf numFmtId="0" fontId="0" fillId="2" borderId="52" xfId="0" applyFill="1" applyBorder="1" applyAlignment="1">
      <alignment horizontal="center" vertical="center" textRotation="90"/>
    </xf>
    <xf numFmtId="0" fontId="0" fillId="2" borderId="53" xfId="0" applyFill="1" applyBorder="1" applyAlignment="1">
      <alignment horizontal="center" vertical="center" textRotation="90"/>
    </xf>
    <xf numFmtId="0" fontId="0" fillId="2" borderId="54" xfId="0" applyFill="1" applyBorder="1" applyAlignment="1">
      <alignment horizontal="center" vertical="center" textRotation="90"/>
    </xf>
    <xf numFmtId="0" fontId="0" fillId="4" borderId="52" xfId="0" applyFill="1" applyBorder="1" applyAlignment="1">
      <alignment horizontal="center" vertical="center" textRotation="90"/>
    </xf>
    <xf numFmtId="0" fontId="0" fillId="4" borderId="53" xfId="0" applyFill="1" applyBorder="1" applyAlignment="1">
      <alignment horizontal="center" vertical="center" textRotation="90"/>
    </xf>
    <xf numFmtId="0" fontId="0" fillId="4" borderId="54" xfId="0" applyFill="1" applyBorder="1" applyAlignment="1">
      <alignment horizontal="center" vertical="center" textRotation="90"/>
    </xf>
    <xf numFmtId="0" fontId="0" fillId="6" borderId="52" xfId="0" applyFill="1" applyBorder="1" applyAlignment="1">
      <alignment horizontal="center" vertical="center" textRotation="90"/>
    </xf>
    <xf numFmtId="0" fontId="0" fillId="6" borderId="53" xfId="0" applyFill="1" applyBorder="1" applyAlignment="1">
      <alignment horizontal="center" vertical="center" textRotation="90"/>
    </xf>
    <xf numFmtId="0" fontId="0" fillId="6" borderId="54" xfId="0" applyFill="1" applyBorder="1" applyAlignment="1">
      <alignment horizontal="center" vertical="center" textRotation="90"/>
    </xf>
    <xf numFmtId="0" fontId="0" fillId="9" borderId="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9" borderId="0" xfId="0" applyFont="1" applyFill="1" applyAlignment="1">
      <alignment horizontal="center"/>
    </xf>
    <xf numFmtId="0" fontId="0" fillId="0" borderId="44" xfId="0" applyFill="1" applyBorder="1" applyAlignment="1" applyProtection="1">
      <alignment horizontal="center" vertical="center"/>
      <protection locked="0"/>
    </xf>
    <xf numFmtId="172" fontId="3" fillId="9" borderId="9" xfId="0" applyNumberFormat="1" applyFont="1" applyFill="1" applyBorder="1" applyAlignment="1">
      <alignment horizontal="center"/>
    </xf>
    <xf numFmtId="172" fontId="3" fillId="9" borderId="13" xfId="0" applyNumberFormat="1" applyFont="1" applyFill="1" applyBorder="1" applyAlignment="1">
      <alignment horizontal="center"/>
    </xf>
    <xf numFmtId="172" fontId="3" fillId="9" borderId="38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" fillId="12" borderId="17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78" fontId="28" fillId="0" borderId="0" xfId="0" applyNumberFormat="1" applyFont="1" applyAlignment="1">
      <alignment horizontal="center"/>
    </xf>
    <xf numFmtId="14" fontId="0" fillId="9" borderId="4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9" borderId="0" xfId="0" applyFont="1" applyFill="1" applyBorder="1" applyAlignment="1" applyProtection="1">
      <alignment vertical="top" wrapText="1"/>
      <protection locked="0"/>
    </xf>
    <xf numFmtId="0" fontId="0" fillId="9" borderId="12" xfId="0" applyFont="1" applyFill="1" applyBorder="1" applyAlignment="1" applyProtection="1">
      <alignment vertical="top" wrapText="1"/>
      <protection locked="0"/>
    </xf>
    <xf numFmtId="0" fontId="0" fillId="9" borderId="10" xfId="0" applyFill="1" applyBorder="1" applyAlignment="1" applyProtection="1">
      <alignment horizontal="left"/>
      <protection/>
    </xf>
    <xf numFmtId="0" fontId="0" fillId="9" borderId="0" xfId="0" applyFill="1" applyBorder="1" applyAlignment="1">
      <alignment horizontal="center"/>
    </xf>
    <xf numFmtId="0" fontId="7" fillId="9" borderId="3" xfId="0" applyFont="1" applyFill="1" applyBorder="1" applyAlignment="1">
      <alignment horizontal="left" vertical="center"/>
    </xf>
    <xf numFmtId="0" fontId="7" fillId="9" borderId="15" xfId="0" applyFont="1" applyFill="1" applyBorder="1" applyAlignment="1">
      <alignment horizontal="left" vertical="center"/>
    </xf>
    <xf numFmtId="0" fontId="12" fillId="9" borderId="0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0" fillId="9" borderId="55" xfId="0" applyFill="1" applyBorder="1" applyAlignment="1">
      <alignment horizontal="center"/>
    </xf>
    <xf numFmtId="0" fontId="0" fillId="9" borderId="56" xfId="0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14" fontId="46" fillId="9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76200</xdr:rowOff>
    </xdr:from>
    <xdr:to>
      <xdr:col>2</xdr:col>
      <xdr:colOff>714375</xdr:colOff>
      <xdr:row>4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76200</xdr:rowOff>
    </xdr:from>
    <xdr:to>
      <xdr:col>3</xdr:col>
      <xdr:colOff>9525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ambole78.info/Anciens-reglement.htm" TargetMode="External" /><Relationship Id="rId2" Type="http://schemas.openxmlformats.org/officeDocument/2006/relationships/hyperlink" Target="http://jeudiscarambole.fr/reglement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W83"/>
  <sheetViews>
    <sheetView showGridLines="0" showRowColHeaders="0" tabSelected="1" showOutlineSymbols="0" workbookViewId="0" topLeftCell="A1">
      <selection activeCell="D17" sqref="D17"/>
    </sheetView>
  </sheetViews>
  <sheetFormatPr defaultColWidth="11.421875" defaultRowHeight="12.75"/>
  <cols>
    <col min="1" max="1" width="2.140625" style="0" customWidth="1"/>
    <col min="2" max="2" width="6.00390625" style="0" customWidth="1"/>
    <col min="3" max="3" width="14.28125" style="1" customWidth="1"/>
    <col min="4" max="4" width="14.7109375" style="0" customWidth="1"/>
    <col min="5" max="5" width="13.140625" style="0" customWidth="1"/>
    <col min="6" max="6" width="8.140625" style="0" customWidth="1"/>
    <col min="7" max="7" width="9.421875" style="0" customWidth="1"/>
    <col min="8" max="8" width="5.57421875" style="0" customWidth="1"/>
    <col min="9" max="9" width="8.7109375" style="0" customWidth="1"/>
    <col min="10" max="10" width="8.421875" style="0" customWidth="1"/>
    <col min="11" max="11" width="1.28515625" style="34" customWidth="1"/>
    <col min="12" max="12" width="18.00390625" style="0" hidden="1" customWidth="1"/>
    <col min="13" max="13" width="11.8515625" style="1" hidden="1" customWidth="1"/>
    <col min="14" max="14" width="16.7109375" style="0" hidden="1" customWidth="1"/>
    <col min="15" max="15" width="14.421875" style="0" hidden="1" customWidth="1"/>
    <col min="16" max="16" width="7.28125" style="0" hidden="1" customWidth="1"/>
    <col min="17" max="17" width="9.140625" style="0" hidden="1" customWidth="1"/>
    <col min="18" max="18" width="2.00390625" style="0" hidden="1" customWidth="1"/>
    <col min="19" max="19" width="3.421875" style="2" hidden="1" customWidth="1"/>
    <col min="20" max="20" width="3.00390625" style="2" hidden="1" customWidth="1"/>
    <col min="21" max="21" width="7.00390625" style="208" hidden="1" customWidth="1"/>
    <col min="22" max="22" width="7.57421875" style="4" hidden="1" customWidth="1"/>
    <col min="23" max="23" width="5.421875" style="0" hidden="1" customWidth="1"/>
    <col min="24" max="24" width="5.8515625" style="0" hidden="1" customWidth="1"/>
    <col min="25" max="25" width="11.421875" style="0" hidden="1" customWidth="1"/>
  </cols>
  <sheetData>
    <row r="1" spans="1:17" ht="7.5" customHeight="1" thickBot="1">
      <c r="A1" s="221"/>
      <c r="B1" s="34"/>
      <c r="C1" s="37"/>
      <c r="D1" s="34"/>
      <c r="E1" s="34"/>
      <c r="F1" s="34"/>
      <c r="G1" s="34"/>
      <c r="H1" s="34"/>
      <c r="I1" s="34"/>
      <c r="J1" s="34"/>
      <c r="L1" s="34"/>
      <c r="N1" s="37"/>
      <c r="O1" s="34"/>
      <c r="P1" s="34"/>
      <c r="Q1" s="34"/>
    </row>
    <row r="2" spans="1:24" ht="12.75" customHeight="1">
      <c r="A2" s="34"/>
      <c r="B2" s="34"/>
      <c r="C2" s="37"/>
      <c r="D2" s="370" t="s">
        <v>15</v>
      </c>
      <c r="E2" s="370"/>
      <c r="F2" s="370"/>
      <c r="G2" s="180"/>
      <c r="H2" s="37"/>
      <c r="I2" s="364" t="s">
        <v>106</v>
      </c>
      <c r="J2" s="365"/>
      <c r="K2" s="49"/>
      <c r="L2" s="335" t="s">
        <v>155</v>
      </c>
      <c r="M2" s="379" t="s">
        <v>11</v>
      </c>
      <c r="N2" s="380"/>
      <c r="O2" s="381"/>
      <c r="P2" s="179"/>
      <c r="Q2" s="34"/>
      <c r="V2" s="361" t="s">
        <v>137</v>
      </c>
      <c r="W2" s="362"/>
      <c r="X2" s="363"/>
    </row>
    <row r="3" spans="1:24" ht="12.75" customHeight="1">
      <c r="A3" s="34"/>
      <c r="B3" s="34"/>
      <c r="C3" s="180"/>
      <c r="D3" s="370"/>
      <c r="E3" s="370"/>
      <c r="F3" s="370"/>
      <c r="G3" s="372" t="s">
        <v>159</v>
      </c>
      <c r="H3" s="373"/>
      <c r="I3" s="368" t="s">
        <v>57</v>
      </c>
      <c r="J3" s="369"/>
      <c r="K3" s="49"/>
      <c r="L3" s="336" t="s">
        <v>156</v>
      </c>
      <c r="M3" s="8" t="s">
        <v>14</v>
      </c>
      <c r="N3" s="83">
        <f>D10</f>
        <v>0</v>
      </c>
      <c r="O3" s="84">
        <f>E10</f>
        <v>0</v>
      </c>
      <c r="P3" s="179" t="s">
        <v>47</v>
      </c>
      <c r="Q3" s="34"/>
      <c r="R3" s="1">
        <f>IF(ISBLANK(D10),0,1)</f>
        <v>0</v>
      </c>
      <c r="S3" s="1">
        <f aca="true" t="shared" si="0" ref="S3:T5">IF(ISBLANK(F10),0,1)</f>
        <v>0</v>
      </c>
      <c r="T3" s="1">
        <f t="shared" si="0"/>
        <v>0</v>
      </c>
      <c r="V3" s="303" t="s">
        <v>134</v>
      </c>
      <c r="W3" s="304" t="s">
        <v>135</v>
      </c>
      <c r="X3" s="305" t="s">
        <v>136</v>
      </c>
    </row>
    <row r="4" spans="1:24" ht="12.75" customHeight="1" thickBot="1">
      <c r="A4" s="34"/>
      <c r="B4" s="34"/>
      <c r="C4" s="37"/>
      <c r="D4" s="371" t="str">
        <f>IF(V4=1900,"Saisir ci-dessous la date de la rencontre",IF(W4&gt;V9,V4&amp;" - "&amp;V4+1,IF(W4&lt;X9,V4-1&amp;" - "&amp;V4,"inter saison")))</f>
        <v>Saisir ci-dessous la date de la rencontre</v>
      </c>
      <c r="E4" s="371"/>
      <c r="F4" s="371"/>
      <c r="G4" s="37"/>
      <c r="H4" s="34"/>
      <c r="I4" s="366" t="s">
        <v>107</v>
      </c>
      <c r="J4" s="367"/>
      <c r="K4" s="40"/>
      <c r="L4" s="337">
        <v>5.99</v>
      </c>
      <c r="M4" s="9" t="s">
        <v>7</v>
      </c>
      <c r="N4" s="83">
        <f>D20</f>
        <v>0</v>
      </c>
      <c r="O4" s="84">
        <f>E20</f>
        <v>0</v>
      </c>
      <c r="P4" s="179" t="s">
        <v>48</v>
      </c>
      <c r="Q4" s="34"/>
      <c r="R4" s="1">
        <f>IF(ISBLANK(D11),0,1)</f>
        <v>0</v>
      </c>
      <c r="S4" s="1">
        <f t="shared" si="0"/>
        <v>0</v>
      </c>
      <c r="T4" s="1">
        <f>IF(ISBLANK(G11),0,1)</f>
        <v>0</v>
      </c>
      <c r="V4" s="309">
        <f>YEAR(E5)</f>
        <v>1900</v>
      </c>
      <c r="W4" s="308">
        <f>MONTH(E5)</f>
        <v>1</v>
      </c>
      <c r="X4" s="310">
        <f>DAY(E5)</f>
        <v>0</v>
      </c>
    </row>
    <row r="5" spans="1:24" s="1" customFormat="1" ht="20.25" customHeight="1" thickBot="1">
      <c r="A5" s="37"/>
      <c r="B5" s="37"/>
      <c r="C5" s="104"/>
      <c r="D5" s="125" t="s">
        <v>58</v>
      </c>
      <c r="E5" s="357"/>
      <c r="F5" s="358"/>
      <c r="G5" s="181"/>
      <c r="H5" s="37"/>
      <c r="I5" s="353"/>
      <c r="J5" s="353"/>
      <c r="K5" s="226"/>
      <c r="L5" s="179" t="s">
        <v>79</v>
      </c>
      <c r="M5" s="10"/>
      <c r="N5" s="83"/>
      <c r="O5" s="84"/>
      <c r="P5" s="179" t="s">
        <v>49</v>
      </c>
      <c r="Q5" s="37"/>
      <c r="R5" s="1">
        <f>IF(ISBLANK(D12),0,1)</f>
        <v>0</v>
      </c>
      <c r="S5" s="1">
        <f t="shared" si="0"/>
        <v>0</v>
      </c>
      <c r="T5" s="1">
        <f>IF(ISBLANK(G12),0,1)</f>
        <v>0</v>
      </c>
      <c r="U5" s="208"/>
      <c r="V5" s="361" t="s">
        <v>138</v>
      </c>
      <c r="W5" s="362"/>
      <c r="X5" s="363"/>
    </row>
    <row r="6" spans="1:24" ht="3" customHeight="1">
      <c r="A6" s="34"/>
      <c r="B6" s="34"/>
      <c r="C6" s="386" t="s">
        <v>56</v>
      </c>
      <c r="D6" s="74"/>
      <c r="E6" s="74"/>
      <c r="F6" s="74"/>
      <c r="G6" s="75"/>
      <c r="H6" s="37"/>
      <c r="I6" s="56"/>
      <c r="J6" s="56"/>
      <c r="K6" s="40"/>
      <c r="L6" s="34"/>
      <c r="M6" s="11" t="s">
        <v>1</v>
      </c>
      <c r="N6" s="83">
        <f>D11</f>
        <v>0</v>
      </c>
      <c r="O6" s="84">
        <f>E11</f>
        <v>0</v>
      </c>
      <c r="P6" s="179" t="s">
        <v>50</v>
      </c>
      <c r="Q6" s="34"/>
      <c r="R6" s="1">
        <f>SUM(R3:R5)</f>
        <v>0</v>
      </c>
      <c r="S6" s="5">
        <f>SUM(S3:S5)</f>
        <v>0</v>
      </c>
      <c r="T6" s="5">
        <f>SUM(T3:T5)</f>
        <v>0</v>
      </c>
      <c r="V6" s="306"/>
      <c r="W6" s="6"/>
      <c r="X6" s="276"/>
    </row>
    <row r="7" spans="1:25" ht="12.75">
      <c r="A7" s="34"/>
      <c r="B7" s="34"/>
      <c r="C7" s="387"/>
      <c r="D7" s="219"/>
      <c r="E7" s="217" t="s">
        <v>0</v>
      </c>
      <c r="F7" s="218"/>
      <c r="G7" s="76"/>
      <c r="H7" s="67"/>
      <c r="I7" s="56"/>
      <c r="J7" s="56"/>
      <c r="K7" s="226"/>
      <c r="L7" s="1"/>
      <c r="M7" s="12" t="s">
        <v>8</v>
      </c>
      <c r="N7" s="83">
        <f>D21</f>
        <v>0</v>
      </c>
      <c r="O7" s="84">
        <f>E21</f>
        <v>0</v>
      </c>
      <c r="P7" s="179" t="s">
        <v>51</v>
      </c>
      <c r="Q7" s="34"/>
      <c r="R7" s="1"/>
      <c r="S7" s="1">
        <f>SUM(R6:T6)</f>
        <v>0</v>
      </c>
      <c r="T7" s="5"/>
      <c r="V7" s="306" t="s">
        <v>139</v>
      </c>
      <c r="W7" s="311"/>
      <c r="X7" s="312" t="s">
        <v>140</v>
      </c>
      <c r="Y7" s="209" t="s">
        <v>87</v>
      </c>
    </row>
    <row r="8" spans="1:24" ht="3.75" customHeight="1">
      <c r="A8" s="34"/>
      <c r="B8" s="34"/>
      <c r="C8" s="387"/>
      <c r="D8" s="77"/>
      <c r="E8" s="77"/>
      <c r="F8" s="77"/>
      <c r="G8" s="76"/>
      <c r="H8" s="67"/>
      <c r="I8" s="56"/>
      <c r="J8" s="56"/>
      <c r="K8" s="77"/>
      <c r="L8" s="34"/>
      <c r="M8" s="10"/>
      <c r="N8" s="83"/>
      <c r="O8" s="84"/>
      <c r="P8" s="179" t="s">
        <v>52</v>
      </c>
      <c r="Q8" s="34"/>
      <c r="S8" s="5"/>
      <c r="T8" s="5"/>
      <c r="V8" s="306"/>
      <c r="W8" s="6"/>
      <c r="X8" s="313"/>
    </row>
    <row r="9" spans="1:25" ht="14.25" customHeight="1">
      <c r="A9" s="34"/>
      <c r="B9" s="34"/>
      <c r="C9" s="387"/>
      <c r="D9" s="94" t="s">
        <v>3</v>
      </c>
      <c r="E9" s="94" t="s">
        <v>4</v>
      </c>
      <c r="F9" s="15" t="s">
        <v>5</v>
      </c>
      <c r="G9" s="21" t="s">
        <v>6</v>
      </c>
      <c r="H9" s="67"/>
      <c r="I9" s="56"/>
      <c r="J9" s="56"/>
      <c r="K9" s="67"/>
      <c r="L9" s="1"/>
      <c r="M9" s="13" t="s">
        <v>2</v>
      </c>
      <c r="N9" s="83">
        <f>D12</f>
        <v>0</v>
      </c>
      <c r="O9" s="84">
        <f>E12</f>
        <v>0</v>
      </c>
      <c r="P9" s="179" t="s">
        <v>53</v>
      </c>
      <c r="Q9" s="34"/>
      <c r="S9" s="3"/>
      <c r="T9" s="3"/>
      <c r="V9" s="307">
        <v>8</v>
      </c>
      <c r="W9" s="308"/>
      <c r="X9" s="314">
        <v>7</v>
      </c>
      <c r="Y9" t="s">
        <v>84</v>
      </c>
    </row>
    <row r="10" spans="1:25" ht="13.5" customHeight="1">
      <c r="A10" s="34"/>
      <c r="B10" s="34"/>
      <c r="C10" s="16" t="s">
        <v>88</v>
      </c>
      <c r="D10" s="105"/>
      <c r="E10" s="105"/>
      <c r="F10" s="106"/>
      <c r="G10" s="107"/>
      <c r="H10" s="338">
        <f>IF(F10&gt;$L$4,"G.C.",IF(D10="goulam","G.C",IF(D10="tatin","G.C",IF(D10="JUMEAU","G,C",""))))</f>
      </c>
      <c r="I10" s="56"/>
      <c r="J10" s="56"/>
      <c r="K10" s="67"/>
      <c r="L10" s="1">
        <f>IF(OR(ISBLANK(D10),ISBLANK(E10),ISBLANK(F10),ISBLANK(G10)),1,0)</f>
        <v>1</v>
      </c>
      <c r="M10" s="14" t="s">
        <v>9</v>
      </c>
      <c r="N10" s="83">
        <f>D22</f>
        <v>0</v>
      </c>
      <c r="O10" s="84">
        <f>E22</f>
        <v>0</v>
      </c>
      <c r="P10" s="205" t="s">
        <v>54</v>
      </c>
      <c r="Q10" s="37">
        <f>IF(G10=0,0,1)</f>
        <v>0</v>
      </c>
      <c r="S10" s="3"/>
      <c r="T10" s="3"/>
      <c r="X10" s="1"/>
      <c r="Y10" t="s">
        <v>83</v>
      </c>
    </row>
    <row r="11" spans="1:25" ht="13.5" thickBot="1">
      <c r="A11" s="34"/>
      <c r="B11" s="34"/>
      <c r="C11" s="17" t="s">
        <v>1</v>
      </c>
      <c r="D11" s="105"/>
      <c r="E11" s="105"/>
      <c r="F11" s="106"/>
      <c r="G11" s="107"/>
      <c r="H11" s="338">
        <f>IF(F11&gt;$L$4,"G.C.",IF(D11="goulam","G.C",IF(D11="tatin","G.C",IF(D11="JUMEAU","G,C",""))))</f>
      </c>
      <c r="I11" s="56"/>
      <c r="J11" s="56"/>
      <c r="K11" s="67"/>
      <c r="L11" s="1">
        <f>IF(OR(ISBLANK(D11),ISBLANK(E11),ISBLANK(F11),ISBLANK(G11)),2,0)</f>
        <v>2</v>
      </c>
      <c r="M11" s="85"/>
      <c r="N11" s="86"/>
      <c r="O11" s="87"/>
      <c r="Q11" s="37">
        <f>IF(G11=0,0,1)</f>
        <v>0</v>
      </c>
      <c r="S11" s="3"/>
      <c r="T11" s="3"/>
      <c r="Y11" t="s">
        <v>86</v>
      </c>
    </row>
    <row r="12" spans="1:25" ht="13.5" thickBot="1">
      <c r="A12" s="34"/>
      <c r="B12" s="34"/>
      <c r="C12" s="18" t="s">
        <v>2</v>
      </c>
      <c r="D12" s="105"/>
      <c r="E12" s="105"/>
      <c r="F12" s="106"/>
      <c r="G12" s="107"/>
      <c r="H12" s="338">
        <f>IF(F12&gt;$L$4,"G.C.",IF(D12="goulam","G.C",IF(D12="tatin","G.C",IF(D12="JUMEAU","G,C",""))))</f>
      </c>
      <c r="I12" s="56"/>
      <c r="J12" s="56"/>
      <c r="K12" s="49"/>
      <c r="L12" s="1">
        <f>IF(OR(ISBLANK(D12),ISBLANK(E12),ISBLANK(F12),ISBLANK(G12)),3,0)</f>
        <v>3</v>
      </c>
      <c r="N12" s="34"/>
      <c r="O12" s="110" t="s">
        <v>33</v>
      </c>
      <c r="P12" s="34"/>
      <c r="Q12" s="37">
        <f>IF(G12=0,0,1)</f>
        <v>0</v>
      </c>
      <c r="S12" s="5"/>
      <c r="T12" s="5"/>
      <c r="Y12" t="s">
        <v>82</v>
      </c>
    </row>
    <row r="13" spans="1:24" ht="3.75" customHeight="1" thickBot="1">
      <c r="A13" s="34"/>
      <c r="B13" s="34"/>
      <c r="C13" s="78"/>
      <c r="D13" s="79"/>
      <c r="E13" s="79"/>
      <c r="F13" s="79"/>
      <c r="G13" s="80"/>
      <c r="H13" s="1"/>
      <c r="I13" s="56"/>
      <c r="J13" s="56"/>
      <c r="K13" s="40"/>
      <c r="L13" s="1"/>
      <c r="M13" s="384" t="s">
        <v>12</v>
      </c>
      <c r="N13" s="384"/>
      <c r="O13" s="385"/>
      <c r="P13" s="34"/>
      <c r="Q13" s="37"/>
      <c r="R13" s="1">
        <f>IF(ISBLANK(D20),0,1)</f>
        <v>0</v>
      </c>
      <c r="S13" s="1">
        <f aca="true" t="shared" si="1" ref="S13:T15">IF(ISBLANK(F20),0,1)</f>
        <v>0</v>
      </c>
      <c r="T13" s="1">
        <f t="shared" si="1"/>
        <v>0</v>
      </c>
      <c r="U13" s="208">
        <v>41184</v>
      </c>
      <c r="W13" s="1"/>
      <c r="X13" s="1"/>
    </row>
    <row r="14" spans="1:24" ht="5.25" customHeight="1">
      <c r="A14" s="34"/>
      <c r="B14" s="34"/>
      <c r="C14" s="37"/>
      <c r="D14" s="34"/>
      <c r="E14" s="34"/>
      <c r="F14" s="34"/>
      <c r="G14" s="34"/>
      <c r="H14" s="1"/>
      <c r="I14" s="355" t="s">
        <v>113</v>
      </c>
      <c r="J14" s="355"/>
      <c r="L14" s="1">
        <f>SUM(L10:L12)</f>
        <v>6</v>
      </c>
      <c r="M14" s="172" t="s">
        <v>14</v>
      </c>
      <c r="N14" s="83">
        <f>D10</f>
        <v>0</v>
      </c>
      <c r="O14" s="84">
        <f>E10</f>
        <v>0</v>
      </c>
      <c r="P14" s="34"/>
      <c r="Q14" s="37">
        <f>SUM(Q10:Q13)</f>
        <v>0</v>
      </c>
      <c r="R14" s="1">
        <f>IF(ISBLANK(D21),0,1)</f>
        <v>0</v>
      </c>
      <c r="S14" s="1">
        <f t="shared" si="1"/>
        <v>0</v>
      </c>
      <c r="T14" s="1">
        <f t="shared" si="1"/>
        <v>0</v>
      </c>
      <c r="W14" s="1"/>
      <c r="X14" s="1"/>
    </row>
    <row r="15" spans="1:24" ht="5.25" customHeight="1" thickBot="1">
      <c r="A15" s="34"/>
      <c r="B15" s="34"/>
      <c r="C15" s="104"/>
      <c r="D15" s="34"/>
      <c r="E15" s="34"/>
      <c r="F15" s="34"/>
      <c r="G15" s="34"/>
      <c r="H15" s="1"/>
      <c r="I15" s="355"/>
      <c r="J15" s="355"/>
      <c r="L15" s="1"/>
      <c r="M15" s="33" t="s">
        <v>9</v>
      </c>
      <c r="N15" s="83">
        <f>D22</f>
        <v>0</v>
      </c>
      <c r="O15" s="84">
        <f>E22</f>
        <v>0</v>
      </c>
      <c r="P15" s="34"/>
      <c r="Q15" s="37"/>
      <c r="R15" s="1">
        <f>IF(ISBLANK(D22),0,1)</f>
        <v>0</v>
      </c>
      <c r="S15" s="1">
        <f t="shared" si="1"/>
        <v>0</v>
      </c>
      <c r="T15" s="1">
        <f t="shared" si="1"/>
        <v>0</v>
      </c>
      <c r="X15" s="1"/>
    </row>
    <row r="16" spans="1:24" ht="3" customHeight="1">
      <c r="A16" s="34"/>
      <c r="B16" s="34"/>
      <c r="C16" s="386" t="s">
        <v>80</v>
      </c>
      <c r="D16" s="39"/>
      <c r="E16" s="39"/>
      <c r="F16" s="39"/>
      <c r="G16" s="48"/>
      <c r="H16" s="1"/>
      <c r="I16" s="355"/>
      <c r="J16" s="355"/>
      <c r="K16" s="56"/>
      <c r="L16" s="1"/>
      <c r="M16" s="20"/>
      <c r="N16" s="83"/>
      <c r="O16" s="84"/>
      <c r="P16" s="34"/>
      <c r="Q16" s="37"/>
      <c r="R16" s="1">
        <f>SUM(R13:R15)</f>
        <v>0</v>
      </c>
      <c r="S16" s="5">
        <f>SUM(S13:S15)</f>
        <v>0</v>
      </c>
      <c r="T16" s="5">
        <f>SUM(T13:T15)</f>
        <v>0</v>
      </c>
      <c r="X16" s="1"/>
    </row>
    <row r="17" spans="1:25" ht="12.75">
      <c r="A17" s="34"/>
      <c r="B17" s="34"/>
      <c r="C17" s="387"/>
      <c r="D17" s="219"/>
      <c r="E17" s="220" t="s">
        <v>0</v>
      </c>
      <c r="F17" s="218"/>
      <c r="G17" s="7"/>
      <c r="H17" s="1"/>
      <c r="I17" s="355"/>
      <c r="J17" s="355"/>
      <c r="K17" s="56"/>
      <c r="L17" s="1"/>
      <c r="M17" s="175" t="s">
        <v>1</v>
      </c>
      <c r="N17" s="83">
        <f>D11</f>
        <v>0</v>
      </c>
      <c r="O17" s="84">
        <f>E11</f>
        <v>0</v>
      </c>
      <c r="P17" s="34"/>
      <c r="Q17" s="37"/>
      <c r="R17" s="1"/>
      <c r="S17" s="1">
        <f>SUM(R16:T16)</f>
        <v>0</v>
      </c>
      <c r="T17" s="5"/>
      <c r="X17" s="1"/>
      <c r="Y17" t="s">
        <v>85</v>
      </c>
    </row>
    <row r="18" spans="1:24" ht="4.5" customHeight="1">
      <c r="A18" s="34"/>
      <c r="B18" s="34"/>
      <c r="C18" s="387"/>
      <c r="D18" s="40"/>
      <c r="E18" s="40"/>
      <c r="F18" s="40"/>
      <c r="G18" s="46"/>
      <c r="H18" s="1"/>
      <c r="I18" s="56"/>
      <c r="J18" s="56"/>
      <c r="K18" s="56"/>
      <c r="L18" s="1"/>
      <c r="M18" s="29" t="s">
        <v>7</v>
      </c>
      <c r="N18" s="83">
        <f>D20</f>
        <v>0</v>
      </c>
      <c r="O18" s="84">
        <f>E20</f>
        <v>0</v>
      </c>
      <c r="P18" s="34"/>
      <c r="Q18" s="37"/>
      <c r="W18" s="1"/>
      <c r="X18" s="1"/>
    </row>
    <row r="19" spans="1:25" ht="12.75">
      <c r="A19" s="34"/>
      <c r="B19" s="34"/>
      <c r="C19" s="387"/>
      <c r="D19" s="63" t="s">
        <v>3</v>
      </c>
      <c r="E19" s="63" t="s">
        <v>4</v>
      </c>
      <c r="F19" s="19" t="s">
        <v>5</v>
      </c>
      <c r="G19" s="22" t="s">
        <v>6</v>
      </c>
      <c r="H19" s="1"/>
      <c r="I19" s="56"/>
      <c r="J19" s="56"/>
      <c r="K19" s="56"/>
      <c r="L19" s="1"/>
      <c r="M19" s="20"/>
      <c r="N19" s="83"/>
      <c r="O19" s="84"/>
      <c r="P19" s="34"/>
      <c r="Q19" s="37"/>
      <c r="W19" s="1"/>
      <c r="X19" s="1"/>
      <c r="Y19" t="s">
        <v>89</v>
      </c>
    </row>
    <row r="20" spans="1:25" ht="12" customHeight="1">
      <c r="A20" s="34"/>
      <c r="B20" s="34"/>
      <c r="C20" s="9" t="s">
        <v>7</v>
      </c>
      <c r="D20" s="105"/>
      <c r="E20" s="105"/>
      <c r="F20" s="106"/>
      <c r="G20" s="107"/>
      <c r="H20" s="338">
        <f>IF(F20&gt;$L$4,"G.C.",IF(D20="goulam","G.C",IF(D20="tatin","G.C",IF(D20="JUMEAU","G,C",""))))</f>
      </c>
      <c r="I20" s="56"/>
      <c r="J20" s="56"/>
      <c r="K20" s="56"/>
      <c r="L20" s="1">
        <f>IF(OR(ISBLANK(D20),ISBLANK(E20),ISBLANK(F20),ISBLANK(G20)),4,0)</f>
        <v>4</v>
      </c>
      <c r="M20" s="173" t="s">
        <v>2</v>
      </c>
      <c r="N20" s="83">
        <f>D12</f>
        <v>0</v>
      </c>
      <c r="O20" s="84">
        <f>E12</f>
        <v>0</v>
      </c>
      <c r="P20" s="34"/>
      <c r="Q20" s="37">
        <f>IF(G20=0,0,1)</f>
        <v>0</v>
      </c>
      <c r="W20" s="1"/>
      <c r="X20" s="1"/>
      <c r="Y20" t="s">
        <v>93</v>
      </c>
    </row>
    <row r="21" spans="1:25" ht="12.75">
      <c r="A21" s="34"/>
      <c r="B21" s="34"/>
      <c r="C21" s="12" t="s">
        <v>8</v>
      </c>
      <c r="D21" s="105"/>
      <c r="E21" s="105"/>
      <c r="F21" s="106"/>
      <c r="G21" s="107"/>
      <c r="H21" s="338">
        <f>IF(F21&gt;$L$4,"G.C.",IF(D21="goulam","G.C",IF(D21="tatin","G.C",IF(D21="JUMEAU","G,C",""))))</f>
      </c>
      <c r="I21" s="56"/>
      <c r="J21" s="56"/>
      <c r="K21" s="56"/>
      <c r="L21" s="1">
        <f>IF(OR(ISBLANK(D21),ISBLANK(E21),ISBLANK(F21),ISBLANK(G21)),5,0)</f>
        <v>5</v>
      </c>
      <c r="M21" s="31" t="s">
        <v>8</v>
      </c>
      <c r="N21" s="83">
        <f>D21</f>
        <v>0</v>
      </c>
      <c r="O21" s="84">
        <f>E21</f>
        <v>0</v>
      </c>
      <c r="P21" s="34"/>
      <c r="Q21" s="37">
        <f>IF(G21=0,0,1)</f>
        <v>0</v>
      </c>
      <c r="W21" s="1"/>
      <c r="X21" s="1"/>
      <c r="Y21" t="s">
        <v>90</v>
      </c>
    </row>
    <row r="22" spans="1:25" ht="13.5" thickBot="1">
      <c r="A22" s="34"/>
      <c r="B22" s="34"/>
      <c r="C22" s="14" t="s">
        <v>9</v>
      </c>
      <c r="D22" s="105"/>
      <c r="E22" s="105"/>
      <c r="F22" s="106"/>
      <c r="G22" s="107"/>
      <c r="H22" s="338">
        <f>IF(F22&gt;$L$4,"G.C.",IF(D22="goulam","G.C",IF(D22="tatin","G.C",IF(D22="JUMEAU","G,C",""))))</f>
      </c>
      <c r="I22" s="56"/>
      <c r="J22" s="56"/>
      <c r="K22" s="56"/>
      <c r="L22" s="1">
        <f>IF(OR(ISBLANK(D22),ISBLANK(E22),ISBLANK(F22),ISBLANK(G22)),6,0)</f>
        <v>6</v>
      </c>
      <c r="M22" s="174"/>
      <c r="N22" s="86"/>
      <c r="O22" s="87"/>
      <c r="P22" s="34"/>
      <c r="Q22" s="37">
        <f>IF(G22=0,0,1)</f>
        <v>0</v>
      </c>
      <c r="W22" s="1"/>
      <c r="X22" s="1"/>
      <c r="Y22" t="s">
        <v>91</v>
      </c>
    </row>
    <row r="23" spans="1:24" ht="3" customHeight="1" thickBot="1">
      <c r="A23" s="34"/>
      <c r="B23" s="34"/>
      <c r="C23" s="82"/>
      <c r="D23" s="41"/>
      <c r="E23" s="41"/>
      <c r="F23" s="323"/>
      <c r="G23" s="239"/>
      <c r="H23" s="1"/>
      <c r="I23" s="56"/>
      <c r="J23" s="56"/>
      <c r="K23" s="40"/>
      <c r="L23">
        <f>SUM(L20:L22)</f>
        <v>15</v>
      </c>
      <c r="N23" s="34"/>
      <c r="O23" s="34"/>
      <c r="P23" s="34"/>
      <c r="Q23" s="37"/>
      <c r="W23" s="1"/>
      <c r="X23" s="1"/>
    </row>
    <row r="24" spans="1:26" ht="21.75" customHeight="1">
      <c r="A24" s="194"/>
      <c r="B24" s="34"/>
      <c r="C24" s="216" t="s">
        <v>97</v>
      </c>
      <c r="E24" s="284" t="s">
        <v>96</v>
      </c>
      <c r="F24" s="216" t="s">
        <v>103</v>
      </c>
      <c r="G24" s="34"/>
      <c r="H24" s="40"/>
      <c r="I24" s="40"/>
      <c r="J24" s="40"/>
      <c r="K24" s="40"/>
      <c r="L24" s="37">
        <f>L14+L23+L17</f>
        <v>21</v>
      </c>
      <c r="M24" s="389" t="s">
        <v>13</v>
      </c>
      <c r="N24" s="384"/>
      <c r="O24" s="385"/>
      <c r="P24" s="34"/>
      <c r="Q24" s="37">
        <f>SUM(Q20:Q23)</f>
        <v>0</v>
      </c>
      <c r="W24" s="1"/>
      <c r="X24" s="1"/>
      <c r="Y24" s="1" t="s">
        <v>92</v>
      </c>
      <c r="Z24" s="1"/>
    </row>
    <row r="25" spans="1:26" ht="21.75" customHeight="1">
      <c r="A25" s="34"/>
      <c r="B25" s="382" t="s">
        <v>27</v>
      </c>
      <c r="C25" s="359" t="str">
        <f>IF(AND(L20=0,D17=""),Y21,IF(AND(L24=15,D17&lt;&gt;""),Y24&amp;D17&amp;" "&amp;F17,IF(L24=15,D7&amp;" "&amp;F7&amp;Y22,IF(L24=0,Y19,IF(AND(F17="",D17&lt;&gt;""),D17&amp;Y7,IF(F7="",D7&amp;Y7,""))))))</f>
        <v>   N° d'équipe si plus d'1 équipe engagée, sinon</v>
      </c>
      <c r="D25" s="359"/>
      <c r="E25" s="359"/>
      <c r="F25" s="359"/>
      <c r="G25" s="359"/>
      <c r="H25" s="359"/>
      <c r="I25" s="359"/>
      <c r="J25" s="360"/>
      <c r="K25" s="227"/>
      <c r="L25" s="37"/>
      <c r="M25" s="8" t="s">
        <v>14</v>
      </c>
      <c r="N25" s="83">
        <f>D10</f>
        <v>0</v>
      </c>
      <c r="O25" s="84">
        <f>E10</f>
        <v>0</v>
      </c>
      <c r="P25" s="34"/>
      <c r="Q25" s="37"/>
      <c r="W25" s="1"/>
      <c r="X25" s="1"/>
      <c r="Y25" s="210" t="s">
        <v>94</v>
      </c>
      <c r="Z25" s="1"/>
    </row>
    <row r="26" spans="1:26" ht="24" customHeight="1" thickBot="1">
      <c r="A26" s="34"/>
      <c r="B26" s="383"/>
      <c r="C26" s="349" t="str">
        <f>IF(AND(D17="",L24=15),Y17,IF(L24=21,Y9&amp;C10&amp;Y10,IF(L24=20,Y9&amp;C11&amp;Y10,IF(L24=18,Y9&amp;C12&amp;Y10,IF(L24=15,Y9&amp;C20&amp;Y10,IF(L24=11,Y9&amp;C21&amp;Y10,IF(AND(D17="",L24=0),Y25,IF(L24=6,Y9&amp;C22&amp;Y10,Y20))))))))</f>
        <v>Saisir le Nom du  joueur 1 et tous les renseignements le concernant</v>
      </c>
      <c r="D26" s="349"/>
      <c r="E26" s="349"/>
      <c r="F26" s="349"/>
      <c r="G26" s="349"/>
      <c r="H26" s="349"/>
      <c r="I26" s="349"/>
      <c r="J26" s="344"/>
      <c r="K26" s="227"/>
      <c r="L26" s="34"/>
      <c r="M26" s="12" t="s">
        <v>8</v>
      </c>
      <c r="N26" s="83">
        <f>D21</f>
        <v>0</v>
      </c>
      <c r="O26" s="84">
        <f>E21</f>
        <v>0</v>
      </c>
      <c r="P26" s="34"/>
      <c r="Q26" s="198">
        <f>(Q14*Q24)*D42</f>
        <v>0</v>
      </c>
      <c r="W26" s="1"/>
      <c r="X26" s="1"/>
      <c r="Y26" s="1"/>
      <c r="Z26" s="1"/>
    </row>
    <row r="27" spans="1:17" ht="9.75" customHeight="1" thickTop="1">
      <c r="A27" s="34"/>
      <c r="B27" s="34"/>
      <c r="C27" s="37"/>
      <c r="D27" s="34"/>
      <c r="E27" s="34"/>
      <c r="F27" s="34"/>
      <c r="G27" s="34"/>
      <c r="H27" s="34"/>
      <c r="I27" s="34"/>
      <c r="J27" s="34"/>
      <c r="M27" s="10"/>
      <c r="N27" s="83"/>
      <c r="O27" s="84"/>
      <c r="P27" s="34"/>
      <c r="Q27" s="34"/>
    </row>
    <row r="28" spans="1:17" ht="12.75">
      <c r="A28" s="34"/>
      <c r="B28" s="93" t="s">
        <v>68</v>
      </c>
      <c r="E28" s="34"/>
      <c r="F28" s="34"/>
      <c r="G28" s="34"/>
      <c r="H28" s="34"/>
      <c r="I28" s="34"/>
      <c r="J28" s="34"/>
      <c r="L28" s="34"/>
      <c r="M28" s="11" t="s">
        <v>1</v>
      </c>
      <c r="N28" s="83">
        <f>D11</f>
        <v>0</v>
      </c>
      <c r="O28" s="84">
        <f>E11</f>
        <v>0</v>
      </c>
      <c r="P28" s="34"/>
      <c r="Q28" s="34"/>
    </row>
    <row r="29" spans="1:17" ht="19.5" customHeight="1">
      <c r="A29" s="34"/>
      <c r="B29" s="34"/>
      <c r="C29" s="81" t="s">
        <v>81</v>
      </c>
      <c r="E29" s="34"/>
      <c r="F29" s="34"/>
      <c r="G29" s="34"/>
      <c r="H29" s="34"/>
      <c r="I29" s="34"/>
      <c r="J29" s="34"/>
      <c r="L29" s="34"/>
      <c r="M29" s="14" t="s">
        <v>9</v>
      </c>
      <c r="N29" s="83">
        <f>D22</f>
        <v>0</v>
      </c>
      <c r="O29" s="84">
        <f>E22</f>
        <v>0</v>
      </c>
      <c r="P29" s="34"/>
      <c r="Q29" s="34"/>
    </row>
    <row r="30" spans="1:17" ht="12.75">
      <c r="A30" s="34"/>
      <c r="B30" s="34"/>
      <c r="C30" s="81" t="s">
        <v>55</v>
      </c>
      <c r="E30" s="34"/>
      <c r="F30" s="81"/>
      <c r="G30" s="34"/>
      <c r="H30" s="34"/>
      <c r="I30" s="34"/>
      <c r="J30" s="34"/>
      <c r="L30" s="34"/>
      <c r="M30" s="10"/>
      <c r="N30" s="83"/>
      <c r="O30" s="84"/>
      <c r="P30" s="34"/>
      <c r="Q30" s="34"/>
    </row>
    <row r="31" spans="1:17" ht="12.75" customHeight="1">
      <c r="A31" s="34"/>
      <c r="B31" s="34"/>
      <c r="C31" s="81" t="s">
        <v>104</v>
      </c>
      <c r="E31" s="81"/>
      <c r="F31" s="34"/>
      <c r="G31" s="34"/>
      <c r="H31" s="34"/>
      <c r="I31" s="34"/>
      <c r="J31" s="34"/>
      <c r="L31" s="34"/>
      <c r="M31" s="13" t="s">
        <v>2</v>
      </c>
      <c r="N31" s="83">
        <f>D12</f>
        <v>0</v>
      </c>
      <c r="O31" s="84">
        <f>E12</f>
        <v>0</v>
      </c>
      <c r="P31" s="34"/>
      <c r="Q31" s="34"/>
    </row>
    <row r="32" spans="1:17" ht="9.75" customHeight="1">
      <c r="A32" s="34"/>
      <c r="B32" s="34"/>
      <c r="C32" s="37"/>
      <c r="D32" s="34"/>
      <c r="E32" s="34"/>
      <c r="F32" s="34"/>
      <c r="G32" s="34"/>
      <c r="H32" s="34"/>
      <c r="I32" s="34"/>
      <c r="J32" s="34"/>
      <c r="L32" s="34"/>
      <c r="M32" s="9" t="s">
        <v>7</v>
      </c>
      <c r="N32" s="83">
        <f>N4</f>
        <v>0</v>
      </c>
      <c r="O32" s="84">
        <f>E20</f>
        <v>0</v>
      </c>
      <c r="P32" s="34"/>
      <c r="Q32" s="34"/>
    </row>
    <row r="33" spans="1:17" ht="13.5" thickBot="1">
      <c r="A33" s="34"/>
      <c r="B33" s="225" t="s">
        <v>102</v>
      </c>
      <c r="C33" s="225"/>
      <c r="D33" s="225"/>
      <c r="E33" s="225"/>
      <c r="F33" s="225"/>
      <c r="G33" s="34"/>
      <c r="H33" s="34"/>
      <c r="I33" s="34"/>
      <c r="J33" s="34"/>
      <c r="L33" s="34"/>
      <c r="M33" s="85"/>
      <c r="N33" s="86"/>
      <c r="O33" s="87"/>
      <c r="P33" s="34"/>
      <c r="Q33" s="34"/>
    </row>
    <row r="34" spans="1:17" ht="12.75">
      <c r="A34" s="34"/>
      <c r="C34" s="205" t="s">
        <v>109</v>
      </c>
      <c r="D34" s="34"/>
      <c r="E34" s="34"/>
      <c r="F34" s="34"/>
      <c r="G34" s="34"/>
      <c r="H34" s="34"/>
      <c r="I34" s="34"/>
      <c r="J34" s="34"/>
      <c r="L34" s="34"/>
      <c r="M34" s="37"/>
      <c r="N34" s="34"/>
      <c r="O34" s="34"/>
      <c r="P34" s="34"/>
      <c r="Q34" s="34"/>
    </row>
    <row r="35" spans="1:17" ht="9" customHeight="1">
      <c r="A35" s="34"/>
      <c r="C35" s="205"/>
      <c r="D35" s="34"/>
      <c r="E35" s="34"/>
      <c r="F35" s="34"/>
      <c r="G35" s="34"/>
      <c r="H35" s="34"/>
      <c r="I35" s="34"/>
      <c r="J35" s="34"/>
      <c r="L35" s="34"/>
      <c r="M35" s="37"/>
      <c r="N35" s="34"/>
      <c r="O35" s="34"/>
      <c r="P35" s="34"/>
      <c r="Q35" s="34"/>
    </row>
    <row r="36" spans="1:17" ht="12.75" customHeight="1">
      <c r="A36" s="34"/>
      <c r="B36" s="225" t="s">
        <v>110</v>
      </c>
      <c r="C36" s="37"/>
      <c r="D36" s="34"/>
      <c r="E36" s="34"/>
      <c r="F36" s="34"/>
      <c r="G36" s="34"/>
      <c r="H36" s="34"/>
      <c r="I36" s="34"/>
      <c r="J36" s="34"/>
      <c r="L36" s="34"/>
      <c r="P36" s="34"/>
      <c r="Q36" s="34"/>
    </row>
    <row r="37" spans="1:17" ht="10.5" customHeight="1">
      <c r="A37" s="34"/>
      <c r="B37" s="225"/>
      <c r="C37" s="37"/>
      <c r="D37" s="34"/>
      <c r="E37" s="34"/>
      <c r="F37" s="34"/>
      <c r="G37" s="34"/>
      <c r="H37" s="34"/>
      <c r="I37" s="34"/>
      <c r="J37" s="34"/>
      <c r="L37" s="34"/>
      <c r="P37" s="34"/>
      <c r="Q37" s="34"/>
    </row>
    <row r="38" spans="1:17" ht="12.75" customHeight="1">
      <c r="A38" s="34"/>
      <c r="B38" s="225" t="s">
        <v>111</v>
      </c>
      <c r="C38" s="37"/>
      <c r="D38" s="34"/>
      <c r="E38" s="34"/>
      <c r="F38" s="34"/>
      <c r="G38" s="34"/>
      <c r="H38" s="34"/>
      <c r="I38" s="34"/>
      <c r="J38" s="34"/>
      <c r="L38" s="34"/>
      <c r="P38" s="34"/>
      <c r="Q38" s="34"/>
    </row>
    <row r="39" spans="1:17" ht="8.25" customHeight="1">
      <c r="A39" s="34"/>
      <c r="B39" s="34"/>
      <c r="C39" s="37"/>
      <c r="D39" s="34"/>
      <c r="E39" s="34"/>
      <c r="F39" s="34"/>
      <c r="G39" s="34"/>
      <c r="H39" s="34"/>
      <c r="I39" s="34"/>
      <c r="J39" s="34"/>
      <c r="L39" s="34"/>
      <c r="P39" s="34"/>
      <c r="Q39" s="34"/>
    </row>
    <row r="40" spans="1:17" ht="12.75">
      <c r="A40" s="34"/>
      <c r="B40" s="34"/>
      <c r="C40" s="356" t="s">
        <v>69</v>
      </c>
      <c r="D40" s="356"/>
      <c r="E40" s="356"/>
      <c r="F40" s="356"/>
      <c r="G40" s="34"/>
      <c r="H40" s="34"/>
      <c r="I40" s="34"/>
      <c r="J40" s="34"/>
      <c r="L40" s="34"/>
      <c r="P40" s="34"/>
      <c r="Q40" s="34"/>
    </row>
    <row r="41" spans="1:17" ht="12.75">
      <c r="A41" s="34"/>
      <c r="B41" s="34"/>
      <c r="C41" s="199" t="s">
        <v>62</v>
      </c>
      <c r="D41" s="200" t="s">
        <v>63</v>
      </c>
      <c r="E41" s="200" t="s">
        <v>64</v>
      </c>
      <c r="F41" s="201" t="s">
        <v>65</v>
      </c>
      <c r="G41" s="34"/>
      <c r="H41" s="34"/>
      <c r="I41" s="34"/>
      <c r="J41" s="34"/>
      <c r="L41" s="34"/>
      <c r="P41" s="34"/>
      <c r="Q41" s="34"/>
    </row>
    <row r="42" spans="1:17" ht="14.25" customHeight="1">
      <c r="A42" s="34"/>
      <c r="C42" s="202" t="s">
        <v>66</v>
      </c>
      <c r="D42" s="203">
        <v>20</v>
      </c>
      <c r="E42" s="203">
        <v>10</v>
      </c>
      <c r="F42" s="204">
        <v>0</v>
      </c>
      <c r="G42" s="34"/>
      <c r="H42" s="34"/>
      <c r="I42" s="34"/>
      <c r="J42" s="34"/>
      <c r="L42" s="34"/>
      <c r="P42" s="34"/>
      <c r="Q42" s="34"/>
    </row>
    <row r="43" spans="1:17" ht="12.75">
      <c r="A43" s="34"/>
      <c r="C43" s="354" t="s">
        <v>67</v>
      </c>
      <c r="D43" s="354"/>
      <c r="E43" s="354"/>
      <c r="F43" s="354"/>
      <c r="G43" s="34"/>
      <c r="H43" s="34"/>
      <c r="I43" s="34"/>
      <c r="J43" s="34"/>
      <c r="L43" s="34"/>
      <c r="P43" s="34"/>
      <c r="Q43" s="34"/>
    </row>
    <row r="44" spans="1:17" ht="6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L44" s="34"/>
      <c r="P44" s="34"/>
      <c r="Q44" s="34"/>
    </row>
    <row r="45" spans="1:17" ht="12.75">
      <c r="A45" s="34"/>
      <c r="B45" s="34"/>
      <c r="C45" s="356" t="s">
        <v>141</v>
      </c>
      <c r="D45" s="356"/>
      <c r="E45" s="356"/>
      <c r="F45" s="356"/>
      <c r="G45" s="388" t="s">
        <v>146</v>
      </c>
      <c r="H45" s="388"/>
      <c r="I45" s="388"/>
      <c r="J45" s="34"/>
      <c r="L45" s="34"/>
      <c r="P45" s="34"/>
      <c r="Q45" s="34"/>
    </row>
    <row r="46" spans="1:22" ht="12.75">
      <c r="A46" s="34"/>
      <c r="C46" s="345" t="s">
        <v>145</v>
      </c>
      <c r="D46" s="317" t="s">
        <v>143</v>
      </c>
      <c r="E46" s="315">
        <v>35</v>
      </c>
      <c r="F46" s="201" t="s">
        <v>142</v>
      </c>
      <c r="G46" s="321" t="s">
        <v>147</v>
      </c>
      <c r="I46" s="320">
        <v>1.2</v>
      </c>
      <c r="M46"/>
      <c r="S46"/>
      <c r="T46"/>
      <c r="U46"/>
      <c r="V46"/>
    </row>
    <row r="47" spans="1:22" ht="12.75">
      <c r="A47" s="34"/>
      <c r="C47" s="346"/>
      <c r="D47" s="318" t="s">
        <v>144</v>
      </c>
      <c r="E47" s="203">
        <v>222</v>
      </c>
      <c r="F47" s="316" t="s">
        <v>142</v>
      </c>
      <c r="G47" s="322" t="s">
        <v>148</v>
      </c>
      <c r="I47">
        <v>20.125</v>
      </c>
      <c r="M47"/>
      <c r="S47"/>
      <c r="T47"/>
      <c r="U47"/>
      <c r="V47"/>
    </row>
    <row r="48" spans="1:22" ht="12.75">
      <c r="A48" s="34"/>
      <c r="C48"/>
      <c r="M48"/>
      <c r="S48"/>
      <c r="T48"/>
      <c r="U48"/>
      <c r="V48"/>
    </row>
    <row r="49" spans="1:22" ht="12.75">
      <c r="A49" s="34"/>
      <c r="C49"/>
      <c r="M49"/>
      <c r="S49"/>
      <c r="T49"/>
      <c r="U49"/>
      <c r="V49"/>
    </row>
    <row r="50" spans="1:22" ht="12.75">
      <c r="A50" s="34"/>
      <c r="B50" s="333" t="s">
        <v>149</v>
      </c>
      <c r="C50" s="324"/>
      <c r="D50" s="324"/>
      <c r="E50" s="324"/>
      <c r="F50" s="324"/>
      <c r="G50" s="324"/>
      <c r="H50" s="324"/>
      <c r="I50" s="325"/>
      <c r="M50"/>
      <c r="S50"/>
      <c r="T50"/>
      <c r="U50"/>
      <c r="V50"/>
    </row>
    <row r="51" spans="1:22" ht="12.75">
      <c r="A51" s="34"/>
      <c r="B51" s="334" t="s">
        <v>150</v>
      </c>
      <c r="C51" s="327">
        <v>40859</v>
      </c>
      <c r="D51" s="328" t="s">
        <v>151</v>
      </c>
      <c r="E51" s="328"/>
      <c r="F51" s="328"/>
      <c r="G51" s="328"/>
      <c r="H51" s="328"/>
      <c r="I51" s="329"/>
      <c r="M51"/>
      <c r="S51"/>
      <c r="T51"/>
      <c r="U51"/>
      <c r="V51"/>
    </row>
    <row r="52" spans="1:22" ht="12.75">
      <c r="A52" s="34"/>
      <c r="B52" s="334" t="s">
        <v>152</v>
      </c>
      <c r="C52" s="327">
        <v>41122</v>
      </c>
      <c r="D52" s="328" t="s">
        <v>153</v>
      </c>
      <c r="E52" s="328"/>
      <c r="F52" s="328"/>
      <c r="G52" s="328"/>
      <c r="H52" s="328"/>
      <c r="I52" s="329"/>
      <c r="M52"/>
      <c r="S52"/>
      <c r="T52"/>
      <c r="U52"/>
      <c r="V52"/>
    </row>
    <row r="53" spans="1:22" ht="12.75">
      <c r="A53" s="34"/>
      <c r="B53" s="326"/>
      <c r="C53" s="328"/>
      <c r="D53" s="328" t="s">
        <v>154</v>
      </c>
      <c r="E53" s="328"/>
      <c r="F53" s="328"/>
      <c r="G53" s="328"/>
      <c r="H53" s="328"/>
      <c r="I53" s="329"/>
      <c r="M53"/>
      <c r="S53"/>
      <c r="T53"/>
      <c r="U53"/>
      <c r="V53"/>
    </row>
    <row r="54" spans="1:17" ht="12.75">
      <c r="A54" s="34"/>
      <c r="B54" s="342" t="s">
        <v>157</v>
      </c>
      <c r="C54" s="327">
        <v>41883</v>
      </c>
      <c r="D54" s="328" t="s">
        <v>158</v>
      </c>
      <c r="E54" s="328"/>
      <c r="F54" s="328"/>
      <c r="G54" s="328"/>
      <c r="H54" s="328"/>
      <c r="I54" s="329"/>
      <c r="J54" s="34"/>
      <c r="L54" s="34"/>
      <c r="M54" s="34"/>
      <c r="N54" s="34"/>
      <c r="O54" s="34"/>
      <c r="P54" s="34"/>
      <c r="Q54" s="34"/>
    </row>
    <row r="55" spans="1:17" ht="12.75">
      <c r="A55" s="34"/>
      <c r="B55" s="330"/>
      <c r="C55" s="331"/>
      <c r="D55" s="331"/>
      <c r="E55" s="331"/>
      <c r="F55" s="331"/>
      <c r="G55" s="331"/>
      <c r="H55" s="331"/>
      <c r="I55" s="332"/>
      <c r="J55" s="34"/>
      <c r="L55" s="34"/>
      <c r="M55" s="34"/>
      <c r="N55" s="34"/>
      <c r="O55" s="34"/>
      <c r="P55" s="34"/>
      <c r="Q55" s="34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L56" s="34"/>
      <c r="M56" s="34"/>
      <c r="N56" s="34"/>
      <c r="O56" s="34"/>
      <c r="P56" s="34"/>
      <c r="Q56" s="34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L57" s="34"/>
      <c r="M57" s="34"/>
      <c r="N57" s="34"/>
      <c r="O57" s="34"/>
      <c r="P57" s="34"/>
      <c r="Q57" s="34"/>
    </row>
    <row r="58" spans="1:26" ht="12.75">
      <c r="A58" s="34"/>
      <c r="B58" s="347" t="s">
        <v>98</v>
      </c>
      <c r="C58" s="347"/>
      <c r="D58" s="347"/>
      <c r="E58" s="347"/>
      <c r="F58" s="347"/>
      <c r="G58" s="347"/>
      <c r="H58" s="347"/>
      <c r="I58" s="347"/>
      <c r="J58" s="34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49" ht="13.5" thickBot="1">
      <c r="A59" s="34"/>
      <c r="B59" s="348"/>
      <c r="C59" s="348"/>
      <c r="D59" s="348"/>
      <c r="E59" s="348"/>
      <c r="F59" s="348"/>
      <c r="G59" s="348"/>
      <c r="H59" s="348"/>
      <c r="I59" s="348"/>
      <c r="J59" s="348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ht="12.75">
      <c r="A60" s="34"/>
      <c r="B60" s="237"/>
      <c r="C60" s="230"/>
      <c r="D60" s="230"/>
      <c r="E60" s="230"/>
      <c r="F60" s="230"/>
      <c r="G60" s="230"/>
      <c r="H60" s="230"/>
      <c r="I60" s="230"/>
      <c r="J60" s="233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2:49" ht="12.75">
      <c r="B61" s="350" t="s">
        <v>101</v>
      </c>
      <c r="C61" s="351"/>
      <c r="D61" s="351"/>
      <c r="E61" s="351"/>
      <c r="F61" s="351"/>
      <c r="G61" s="351"/>
      <c r="H61" s="351"/>
      <c r="I61" s="351"/>
      <c r="J61" s="352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2:27" ht="12.75">
      <c r="B62" s="350" t="s">
        <v>100</v>
      </c>
      <c r="C62" s="351"/>
      <c r="D62" s="351"/>
      <c r="E62" s="351"/>
      <c r="F62" s="351"/>
      <c r="G62" s="351"/>
      <c r="H62" s="351"/>
      <c r="I62" s="351"/>
      <c r="J62" s="352"/>
      <c r="K62" s="206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2:27" ht="12.75">
      <c r="B63" s="238"/>
      <c r="C63" s="206"/>
      <c r="D63" s="206"/>
      <c r="E63" s="206"/>
      <c r="F63" s="206"/>
      <c r="G63" s="206"/>
      <c r="H63" s="206"/>
      <c r="I63" s="206"/>
      <c r="J63" s="223"/>
      <c r="K63" s="206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2:27" ht="12.75">
      <c r="B64" s="376" t="s">
        <v>99</v>
      </c>
      <c r="C64" s="377"/>
      <c r="D64" s="377"/>
      <c r="E64" s="377"/>
      <c r="F64" s="377"/>
      <c r="G64" s="377"/>
      <c r="H64" s="377"/>
      <c r="I64" s="377"/>
      <c r="J64" s="378"/>
      <c r="K64" s="22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2:27" ht="12.75">
      <c r="B65" s="231"/>
      <c r="C65" s="232"/>
      <c r="D65" s="232"/>
      <c r="E65" s="232"/>
      <c r="F65" s="232"/>
      <c r="G65" s="232"/>
      <c r="H65" s="232"/>
      <c r="I65" s="232"/>
      <c r="J65" s="234"/>
      <c r="K65" s="232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2:27" ht="12.75">
      <c r="B66" s="65"/>
      <c r="C66" s="40" t="s">
        <v>71</v>
      </c>
      <c r="D66" s="40"/>
      <c r="E66" s="40"/>
      <c r="F66" s="40"/>
      <c r="G66" s="40"/>
      <c r="H66" s="40"/>
      <c r="I66" s="40"/>
      <c r="J66" s="46"/>
      <c r="K66" s="40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2:27" ht="6.75" customHeight="1">
      <c r="B67" s="65"/>
      <c r="C67" s="40"/>
      <c r="D67" s="40"/>
      <c r="E67" s="40"/>
      <c r="F67" s="40"/>
      <c r="G67" s="40"/>
      <c r="H67" s="40"/>
      <c r="I67" s="40"/>
      <c r="J67" s="46"/>
      <c r="K67" s="40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2:27" ht="12.75">
      <c r="B68" s="212"/>
      <c r="C68" s="40" t="s">
        <v>72</v>
      </c>
      <c r="D68" s="40"/>
      <c r="E68" s="40"/>
      <c r="F68" s="33" t="s">
        <v>9</v>
      </c>
      <c r="G68" s="40"/>
      <c r="H68" s="40"/>
      <c r="I68" s="40"/>
      <c r="J68" s="46"/>
      <c r="K68" s="40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2:27" ht="12.75">
      <c r="B69" s="212"/>
      <c r="C69" s="40" t="s">
        <v>73</v>
      </c>
      <c r="D69" s="40"/>
      <c r="E69" s="40"/>
      <c r="F69" s="31" t="s">
        <v>8</v>
      </c>
      <c r="G69" s="33" t="s">
        <v>9</v>
      </c>
      <c r="H69" s="40"/>
      <c r="I69" s="40"/>
      <c r="J69" s="46"/>
      <c r="K69" s="40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2:27" ht="12.75">
      <c r="B70" s="212"/>
      <c r="C70" s="40" t="s">
        <v>74</v>
      </c>
      <c r="D70" s="40"/>
      <c r="E70" s="40"/>
      <c r="F70" s="29" t="s">
        <v>7</v>
      </c>
      <c r="G70" s="31" t="s">
        <v>8</v>
      </c>
      <c r="H70" s="229" t="s">
        <v>9</v>
      </c>
      <c r="I70" s="33"/>
      <c r="J70" s="235"/>
      <c r="K70" s="49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2:27" ht="12.75">
      <c r="B71" s="65"/>
      <c r="C71" s="40"/>
      <c r="D71" s="40"/>
      <c r="E71" s="40"/>
      <c r="F71" s="40"/>
      <c r="G71" s="40"/>
      <c r="H71" s="40"/>
      <c r="I71" s="40"/>
      <c r="J71" s="46"/>
      <c r="K71" s="40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2:27" ht="12.75">
      <c r="B72" s="65"/>
      <c r="C72" s="213" t="s">
        <v>75</v>
      </c>
      <c r="D72" s="40"/>
      <c r="E72" s="40"/>
      <c r="F72" s="6"/>
      <c r="G72" s="40"/>
      <c r="H72" s="40"/>
      <c r="I72" s="40"/>
      <c r="J72" s="46"/>
      <c r="K72" s="40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2:27" ht="12.75">
      <c r="B73" s="65"/>
      <c r="C73" s="40"/>
      <c r="D73" s="40"/>
      <c r="E73" s="40"/>
      <c r="F73" s="40"/>
      <c r="G73" s="40"/>
      <c r="H73" s="40"/>
      <c r="I73" s="40"/>
      <c r="J73" s="46"/>
      <c r="K73" s="40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2:27" ht="12.75">
      <c r="B74" s="65"/>
      <c r="C74" s="40" t="s">
        <v>76</v>
      </c>
      <c r="D74" s="40"/>
      <c r="E74" s="40"/>
      <c r="F74" s="32" t="s">
        <v>2</v>
      </c>
      <c r="G74" s="40"/>
      <c r="H74" s="40"/>
      <c r="I74" s="40"/>
      <c r="J74" s="46"/>
      <c r="K74" s="40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2:27" ht="12.75">
      <c r="B75" s="65"/>
      <c r="C75" s="40" t="s">
        <v>77</v>
      </c>
      <c r="D75" s="40"/>
      <c r="E75" s="40"/>
      <c r="F75" s="30" t="s">
        <v>1</v>
      </c>
      <c r="G75" s="32" t="s">
        <v>2</v>
      </c>
      <c r="H75" s="40"/>
      <c r="I75" s="40"/>
      <c r="J75" s="46"/>
      <c r="K75" s="40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2:27" ht="12.75">
      <c r="B76" s="65"/>
      <c r="C76" s="40" t="s">
        <v>78</v>
      </c>
      <c r="D76" s="40"/>
      <c r="E76" s="40"/>
      <c r="F76" s="28" t="s">
        <v>14</v>
      </c>
      <c r="G76" s="30" t="s">
        <v>1</v>
      </c>
      <c r="H76" s="228" t="s">
        <v>2</v>
      </c>
      <c r="I76" s="32"/>
      <c r="J76" s="236"/>
      <c r="K76" s="67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2:27" ht="13.5" thickBot="1">
      <c r="B77" s="214"/>
      <c r="C77" s="27"/>
      <c r="D77" s="165"/>
      <c r="E77" s="165"/>
      <c r="F77" s="165"/>
      <c r="G77" s="165"/>
      <c r="H77" s="165"/>
      <c r="I77" s="165"/>
      <c r="J77" s="215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ht="12.75">
      <c r="U78"/>
    </row>
    <row r="79" spans="1:7" ht="12.75">
      <c r="A79" s="222"/>
      <c r="D79" s="374" t="s">
        <v>95</v>
      </c>
      <c r="E79" s="374"/>
      <c r="F79" s="375" t="s">
        <v>96</v>
      </c>
      <c r="G79" s="375"/>
    </row>
    <row r="82" ht="12.75">
      <c r="A82" s="222"/>
    </row>
    <row r="83" ht="12.75">
      <c r="A83" s="222"/>
    </row>
  </sheetData>
  <sheetProtection password="EF51" sheet="1" objects="1" scenarios="1" formatRows="0" insertColumns="0" selectLockedCells="1" pivotTables="0"/>
  <mergeCells count="30">
    <mergeCell ref="D79:E79"/>
    <mergeCell ref="F79:G79"/>
    <mergeCell ref="B64:J64"/>
    <mergeCell ref="M2:O2"/>
    <mergeCell ref="B25:B26"/>
    <mergeCell ref="M13:O13"/>
    <mergeCell ref="C16:C19"/>
    <mergeCell ref="C6:C9"/>
    <mergeCell ref="G45:I45"/>
    <mergeCell ref="M24:O24"/>
    <mergeCell ref="E5:F5"/>
    <mergeCell ref="C25:J25"/>
    <mergeCell ref="V2:X2"/>
    <mergeCell ref="V5:X5"/>
    <mergeCell ref="I2:J2"/>
    <mergeCell ref="I4:J4"/>
    <mergeCell ref="I3:J3"/>
    <mergeCell ref="D2:F3"/>
    <mergeCell ref="D4:F4"/>
    <mergeCell ref="G3:H3"/>
    <mergeCell ref="B62:J62"/>
    <mergeCell ref="I5:J5"/>
    <mergeCell ref="C43:F43"/>
    <mergeCell ref="I14:J17"/>
    <mergeCell ref="C45:F45"/>
    <mergeCell ref="C46:C47"/>
    <mergeCell ref="C40:F40"/>
    <mergeCell ref="B58:J59"/>
    <mergeCell ref="B61:J61"/>
    <mergeCell ref="C26:J26"/>
  </mergeCells>
  <conditionalFormatting sqref="D4:F4">
    <cfRule type="cellIs" priority="1" dxfId="0" operator="equal" stopIfTrue="1">
      <formula>"Saisir ci-dessous la date de la rencontre"</formula>
    </cfRule>
  </conditionalFormatting>
  <dataValidations count="7">
    <dataValidation type="whole" allowBlank="1" showInputMessage="1" showErrorMessage="1" promptTitle="N° EQUIPE" prompt="à saisir si plusieurs équipes engagées" errorTitle="ERREUR DE FRAPPE" error="rien si une seule équipe, 1, 2, ou 3 si plusieurs équipes" sqref="F17 F7">
      <formula1>1</formula1>
      <formula2>3</formula2>
    </dataValidation>
    <dataValidation errorStyle="information" type="textLength" allowBlank="1" showInputMessage="1" showErrorMessage="1" errorTitle="NOM ou Prénom du joueur" error="frapper au minimum 3 caractères" sqref="E10:E12 E20:E22">
      <formula1>3</formula1>
      <formula2>20</formula2>
    </dataValidation>
    <dataValidation type="textLength" allowBlank="1" showInputMessage="1" showErrorMessage="1" errorTitle="NOM ou Prénom du joueur" error="frapper au minimum 3 caractères" sqref="D10:D12 D20:D22">
      <formula1>3</formula1>
      <formula2>20</formula2>
    </dataValidation>
    <dataValidation type="list" allowBlank="1" showInputMessage="1" showErrorMessage="1" promptTitle="NOM du CLUB RECU" prompt="Choisissez le club adverse dans la liste déroulante" errorTitle="ERREUR DE SAISIE" error="Effacez et choisissez dans la liste déroulante" sqref="D17">
      <formula1>$P$3:$P$9</formula1>
    </dataValidation>
    <dataValidation type="list" allowBlank="1" showInputMessage="1" showErrorMessage="1" promptTitle="NOM du CLUB RECEVANT" prompt="Choisissez votre club dans la liste déroulante" errorTitle="ERREUR DE SAISIE" error="Effacez et choisissez dans la liste déroulante" sqref="D7">
      <formula1>$P$3:$P$9</formula1>
    </dataValidation>
    <dataValidation type="decimal" allowBlank="1" showInputMessage="1" showErrorMessage="1" promptTitle="Moyenne Glissante" prompt="Utiliser la touche &quot;.suppr&quot; du clavier numérique pour placer la décimale&#10;&#10;" errorTitle="Moyenne Glissante" error="frapper un nombre décimal entre 0,5&#10;et la moyenne du handicap maximum" sqref="F10:F12 F20:F22">
      <formula1>0.5</formula1>
      <formula2>$I$47</formula2>
    </dataValidation>
    <dataValidation type="whole" allowBlank="1" showInputMessage="1" showErrorMessage="1" promptTitle="Distance pour 1 match" prompt="&#10;Distance figurant&#10;sur la convocation" errorTitle="ERREUR de SAISIE" error="vous êtes en dehors des valeurs prévues&#10;dans le cadre &quot;Handicap&quot; en bas de feuille" sqref="G10:G12 G20:G22">
      <formula1>$E$46</formula1>
      <formula2>$E$47</formula2>
    </dataValidation>
  </dataValidations>
  <hyperlinks>
    <hyperlink ref="F78:G78" location="Inscriptions!A1" display="Cliquer ici"/>
    <hyperlink ref="E24" location="Inscriptions!A80" tooltip="Consignes de saisie si forfait(s)" display="Cliquez ici"/>
    <hyperlink ref="I3" r:id="rId1" display="REGLEMENT"/>
    <hyperlink ref="I3:J3" r:id="rId2" tooltip="votre connexion Internet doit être opérationnelle pour accèder au règlement" display="REGLEMENT"/>
    <hyperlink ref="F75:G75" location="Inscriptions!A1" tooltip="Retour à la saisie" display="Cliquez ici"/>
    <hyperlink ref="F74:G74" location="Inscriptions!A1" display="Cliquer ici"/>
    <hyperlink ref="F79:G79" location="Inscriptions!A1" display="Cliquez ici"/>
  </hyperlinks>
  <printOptions/>
  <pageMargins left="0.75" right="0.75" top="1" bottom="1" header="0.4921259845" footer="0.492125984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AG74"/>
  <sheetViews>
    <sheetView showGridLines="0" showRowColHeaders="0" workbookViewId="0" topLeftCell="A1">
      <selection activeCell="H5" sqref="H5"/>
    </sheetView>
  </sheetViews>
  <sheetFormatPr defaultColWidth="11.421875" defaultRowHeight="12.75"/>
  <cols>
    <col min="1" max="1" width="3.28125" style="0" customWidth="1"/>
    <col min="2" max="2" width="9.7109375" style="0" customWidth="1"/>
    <col min="3" max="3" width="9.57421875" style="1" customWidth="1"/>
    <col min="4" max="4" width="15.7109375" style="0" customWidth="1"/>
    <col min="5" max="5" width="15.28125" style="0" customWidth="1"/>
    <col min="6" max="6" width="7.28125" style="1" customWidth="1"/>
    <col min="7" max="7" width="4.8515625" style="1" customWidth="1"/>
    <col min="8" max="8" width="11.00390625" style="1" customWidth="1"/>
    <col min="9" max="9" width="8.00390625" style="0" customWidth="1"/>
    <col min="10" max="10" width="9.28125" style="0" customWidth="1"/>
    <col min="11" max="11" width="0.9921875" style="0" customWidth="1"/>
    <col min="12" max="12" width="21.421875" style="0" customWidth="1"/>
    <col min="13" max="13" width="2.57421875" style="0" hidden="1" customWidth="1"/>
    <col min="14" max="14" width="4.00390625" style="34" hidden="1" customWidth="1"/>
    <col min="15" max="15" width="3.7109375" style="23" hidden="1" customWidth="1"/>
    <col min="16" max="20" width="4.00390625" style="23" hidden="1" customWidth="1"/>
    <col min="21" max="26" width="3.421875" style="0" hidden="1" customWidth="1"/>
    <col min="27" max="27" width="11.421875" style="0" hidden="1" customWidth="1"/>
    <col min="28" max="28" width="5.7109375" style="0" hidden="1" customWidth="1"/>
    <col min="29" max="29" width="4.57421875" style="0" hidden="1" customWidth="1"/>
    <col min="30" max="30" width="5.140625" style="0" hidden="1" customWidth="1"/>
    <col min="31" max="31" width="10.00390625" style="0" hidden="1" customWidth="1"/>
    <col min="32" max="32" width="4.7109375" style="0" hidden="1" customWidth="1"/>
    <col min="33" max="33" width="11.28125" style="0" customWidth="1"/>
  </cols>
  <sheetData>
    <row r="1" ht="6" customHeight="1"/>
    <row r="2" spans="1:26" ht="14.25" customHeight="1">
      <c r="A2" s="34"/>
      <c r="C2" s="37"/>
      <c r="D2" s="34"/>
      <c r="E2" s="34" t="str">
        <f>Inscriptions!G3</f>
        <v>Version 2022.0</v>
      </c>
      <c r="F2" s="37"/>
      <c r="G2" s="37"/>
      <c r="H2" s="37"/>
      <c r="I2" s="34"/>
      <c r="J2" s="34"/>
      <c r="K2" s="34"/>
      <c r="L2" s="34"/>
      <c r="M2" s="51" t="s">
        <v>45</v>
      </c>
      <c r="O2" s="401" t="s">
        <v>21</v>
      </c>
      <c r="P2" s="401"/>
      <c r="Q2" s="401"/>
      <c r="R2" s="401"/>
      <c r="S2" s="401"/>
      <c r="T2" s="401"/>
      <c r="U2" s="400" t="s">
        <v>10</v>
      </c>
      <c r="V2" s="400"/>
      <c r="W2" s="400"/>
      <c r="X2" s="400"/>
      <c r="Y2" s="400"/>
      <c r="Z2" s="400"/>
    </row>
    <row r="3" spans="1:33" ht="27" customHeight="1" thickBot="1">
      <c r="A3" s="166"/>
      <c r="B3" s="412" t="str">
        <f>IF(ISBLANK(Inscriptions!E5),"Saisir la date de la rencontre dans la fiche inscriptions",Inscriptions!E5)</f>
        <v>Saisir la date de la rencontre dans la fiche inscriptions</v>
      </c>
      <c r="C3" s="412"/>
      <c r="D3" s="412"/>
      <c r="E3" s="412"/>
      <c r="F3" s="102" t="s">
        <v>28</v>
      </c>
      <c r="G3" s="102"/>
      <c r="H3" s="103" t="s">
        <v>25</v>
      </c>
      <c r="I3" s="102" t="s">
        <v>10</v>
      </c>
      <c r="J3" s="103" t="s">
        <v>24</v>
      </c>
      <c r="K3" s="38"/>
      <c r="L3" s="277" t="s">
        <v>70</v>
      </c>
      <c r="M3" s="34"/>
      <c r="O3" s="23">
        <v>1</v>
      </c>
      <c r="P3" s="23">
        <v>2</v>
      </c>
      <c r="Q3" s="23">
        <v>3</v>
      </c>
      <c r="R3" s="23">
        <v>4</v>
      </c>
      <c r="S3" s="23">
        <v>5</v>
      </c>
      <c r="T3" s="23">
        <v>6</v>
      </c>
      <c r="U3" s="24">
        <v>1</v>
      </c>
      <c r="V3" s="24">
        <v>2</v>
      </c>
      <c r="W3" s="24">
        <v>3</v>
      </c>
      <c r="X3" s="24">
        <v>4</v>
      </c>
      <c r="Y3" s="24">
        <v>5</v>
      </c>
      <c r="Z3" s="24">
        <v>6</v>
      </c>
      <c r="AA3" s="25" t="s">
        <v>22</v>
      </c>
      <c r="AB3" s="413" t="s">
        <v>61</v>
      </c>
      <c r="AC3" s="413"/>
      <c r="AD3" s="191"/>
      <c r="AE3" s="413" t="s">
        <v>60</v>
      </c>
      <c r="AF3" s="413"/>
      <c r="AG3" s="191"/>
    </row>
    <row r="4" spans="1:13" ht="4.5" customHeight="1">
      <c r="A4" s="34"/>
      <c r="B4" s="35"/>
      <c r="C4" s="26"/>
      <c r="D4" s="39"/>
      <c r="E4" s="39"/>
      <c r="F4" s="42"/>
      <c r="G4" s="42"/>
      <c r="H4" s="42"/>
      <c r="I4" s="39"/>
      <c r="J4" s="42"/>
      <c r="K4" s="43"/>
      <c r="L4" s="34"/>
      <c r="M4" s="34"/>
    </row>
    <row r="5" spans="1:31" ht="12.75">
      <c r="A5" s="390" t="str">
        <f>Inscriptions!M2</f>
        <v>Tour 1</v>
      </c>
      <c r="B5" s="399" t="s">
        <v>29</v>
      </c>
      <c r="C5" s="28" t="str">
        <f>Inscriptions!M3</f>
        <v> joueur 1 </v>
      </c>
      <c r="D5" s="83">
        <f>Inscriptions!D10</f>
        <v>0</v>
      </c>
      <c r="E5" s="83">
        <f>IF(Inscriptions!D17="","",IF(Inscriptions!$D$10="","FORFAIT",Inscriptions!$E$10))</f>
      </c>
      <c r="F5" s="88">
        <f>IF(OR(ISBLANK(Inscriptions!$G$10),ISBLANK(Inscriptions!$G$20)),"",Inscriptions!$G$10)</f>
      </c>
      <c r="G5" s="340">
        <f>Inscriptions!H10</f>
      </c>
      <c r="H5" s="285"/>
      <c r="I5" s="402"/>
      <c r="J5" s="44" t="str">
        <f>IF(OR(ISBLANK(H5),ISBLANK(I5))," ",H5/I5)</f>
        <v> </v>
      </c>
      <c r="K5" s="45"/>
      <c r="L5" s="89" t="str">
        <f>IF(OR(ISBLANK(H5),ISBLANK(I5),ISBLANK(H6))," ",IF(AND(H5=Inscriptions!G10,H6=Inscriptions!G20),"Ex æquo",IF(H5=Inscriptions!G10,"vainqueur",IF(H5&gt;Inscriptions!G10," ERREUR trop de points",IF(AND(H5&lt;Inscriptions!G10,H6&lt;&gt;Inscriptions!G20),"ERREUR Manque des points","perdant")))))</f>
        <v> </v>
      </c>
      <c r="M5" s="117">
        <f>IF(L5="vainqueur",Inscriptions!$D$42,IF(L5="perdant",Inscriptions!$F$42,IF(L5="Ex aequo",Inscriptions!$E$42,0)))</f>
        <v>0</v>
      </c>
      <c r="N5" s="118"/>
      <c r="O5" s="23">
        <f>H5</f>
        <v>0</v>
      </c>
      <c r="U5" s="24">
        <f>I5</f>
        <v>0</v>
      </c>
      <c r="V5" s="24"/>
      <c r="W5" s="24"/>
      <c r="X5" s="24"/>
      <c r="Y5" s="24"/>
      <c r="Z5" s="24"/>
      <c r="AB5">
        <f>IF(ISBLANK($H$5),"",IF(AND($H$5&lt;$F$5,$H$6&lt;$F$6),1,))</f>
      </c>
      <c r="AE5">
        <f>IF(ISBLANK($H$5),"",IF(AND($H$5&lt;$F$5,$H$6&lt;$F$6),1,))</f>
      </c>
    </row>
    <row r="6" spans="1:32" ht="12.75">
      <c r="A6" s="391"/>
      <c r="B6" s="399"/>
      <c r="C6" s="29" t="str">
        <f>Inscriptions!M4</f>
        <v>joueur 4</v>
      </c>
      <c r="D6" s="83">
        <f>Inscriptions!D20</f>
        <v>0</v>
      </c>
      <c r="E6" s="83">
        <f>IF(Inscriptions!D17="","",IF(Inscriptions!$D$20="","FORFAIT",Inscriptions!$E$20))</f>
      </c>
      <c r="F6" s="88">
        <f>IF(OR(ISBLANK(Inscriptions!$G$20),ISBLANK(Inscriptions!$G$10)),"",Inscriptions!$G$20)</f>
      </c>
      <c r="G6" s="340">
        <f>Inscriptions!H20</f>
      </c>
      <c r="H6" s="285"/>
      <c r="I6" s="402"/>
      <c r="J6" s="44" t="str">
        <f>IF(OR(ISBLANK(H6),ISBLANK(I5))," ",H6/I5)</f>
        <v> </v>
      </c>
      <c r="K6" s="45"/>
      <c r="L6" s="89" t="str">
        <f>IF(OR(ISBLANK(H5),ISBLANK(I5),ISBLANK(H6))," ",IF(AND(H5=Inscriptions!G10,H6=Inscriptions!G20),"Ex æquo",IF(H6=Inscriptions!G20,"vainqueur",IF(H6&gt;Inscriptions!G20," ERREUR trop de points",IF(AND(H6&lt;Inscriptions!G20,H5&lt;&gt;Inscriptions!G10),"ERREUR Manque des points","perdant")))))</f>
        <v> </v>
      </c>
      <c r="M6" s="119"/>
      <c r="N6" s="117">
        <f>IF(L6="vainqueur",Inscriptions!$D$42,IF(L6="perdant",Inscriptions!$F$42,IF(L6="Ex aequo",Inscriptions!$E$42,0)))</f>
        <v>0</v>
      </c>
      <c r="R6" s="23">
        <f>H6</f>
        <v>0</v>
      </c>
      <c r="U6" s="24"/>
      <c r="V6" s="24"/>
      <c r="W6" s="24"/>
      <c r="X6" s="24">
        <f>I5</f>
        <v>0</v>
      </c>
      <c r="Y6" s="24"/>
      <c r="Z6" s="24"/>
      <c r="AC6">
        <f>IF(ISBLANK($H$6),"",IF(AND($H$5&lt;$F$5,$H$6&lt;$F$6),4,))</f>
      </c>
      <c r="AF6">
        <f>IF(ISBLANK($H$6),"",IF(AND($H$5&lt;$F$5,$H$6&lt;$F$6),1,))</f>
      </c>
    </row>
    <row r="7" spans="1:26" ht="12.75">
      <c r="A7" s="391"/>
      <c r="B7" s="109"/>
      <c r="C7" s="20"/>
      <c r="D7" s="83"/>
      <c r="E7" s="83"/>
      <c r="F7" s="88"/>
      <c r="G7" s="340"/>
      <c r="I7" s="206">
        <f>IF(I5&lt;&gt;"","",IF(OR(ISBLANK(H5),ISBLANK(H6)),"","joueur 1/4 SAISIR les REPRISES"))</f>
      </c>
      <c r="J7" s="40"/>
      <c r="K7" s="46"/>
      <c r="L7" s="90"/>
      <c r="M7" s="120"/>
      <c r="N7" s="121"/>
      <c r="U7" s="24"/>
      <c r="V7" s="24"/>
      <c r="W7" s="24"/>
      <c r="X7" s="24"/>
      <c r="Y7" s="24"/>
      <c r="Z7" s="24"/>
    </row>
    <row r="8" spans="1:31" ht="12.75">
      <c r="A8" s="391"/>
      <c r="B8" s="399" t="s">
        <v>30</v>
      </c>
      <c r="C8" s="30" t="str">
        <f>Inscriptions!M6</f>
        <v>joueur 2</v>
      </c>
      <c r="D8" s="83">
        <f>Inscriptions!D11</f>
        <v>0</v>
      </c>
      <c r="E8" s="83">
        <f>IF(Inscriptions!D17="","",IF(Inscriptions!$D$11="","FORFAIT",Inscriptions!$E$11))</f>
      </c>
      <c r="F8" s="88">
        <f>IF(OR(ISBLANK(Inscriptions!$G$11),ISBLANK(Inscriptions!$G$21)),"",Inscriptions!$G$11)</f>
      </c>
      <c r="G8" s="340">
        <f>Inscriptions!H11</f>
      </c>
      <c r="H8" s="285"/>
      <c r="I8" s="402"/>
      <c r="J8" s="44" t="str">
        <f>IF(OR(ISBLANK(H8),ISBLANK(I8))," ",H8/I8)</f>
        <v> </v>
      </c>
      <c r="K8" s="45"/>
      <c r="L8" s="89" t="str">
        <f>IF(OR(ISBLANK(H8),ISBLANK(I8),ISBLANK(H9))," ",IF(AND(H8=Inscriptions!G11,H9=Inscriptions!G21),"Ex æquo",IF(H8=Inscriptions!G11,"vainqueur",IF(H8&gt;Inscriptions!G11," ERREUR trop de points",IF(AND(H8&lt;Inscriptions!G11,H9&lt;&gt;Inscriptions!G21),"ERREUR Manque des points","perdant")))))</f>
        <v> </v>
      </c>
      <c r="M8" s="117">
        <f>IF(L8="vainqueur",Inscriptions!$D$42,IF(L8="perdant",Inscriptions!$F$42,IF(L8="Ex aequo",Inscriptions!$E$42,0)))</f>
        <v>0</v>
      </c>
      <c r="N8" s="122"/>
      <c r="P8" s="23">
        <f>H8</f>
        <v>0</v>
      </c>
      <c r="U8" s="24"/>
      <c r="V8" s="24">
        <f>I8</f>
        <v>0</v>
      </c>
      <c r="W8" s="24"/>
      <c r="X8" s="24"/>
      <c r="Y8" s="24"/>
      <c r="Z8" s="24"/>
      <c r="AB8">
        <f>IF(ISBLANK($H$8),"",IF(AND($H$8&lt;$F$8,$H$9&lt;$F$9),2,))</f>
      </c>
      <c r="AE8">
        <f>IF(ISBLANK($H$8),"",IF(AND($H$8&lt;$F$8,$H$9&lt;$F$9),1,))</f>
      </c>
    </row>
    <row r="9" spans="1:32" ht="12.75">
      <c r="A9" s="391"/>
      <c r="B9" s="399"/>
      <c r="C9" s="31" t="str">
        <f>Inscriptions!M7</f>
        <v>joueur 5</v>
      </c>
      <c r="D9" s="83">
        <f>Inscriptions!D21</f>
        <v>0</v>
      </c>
      <c r="E9" s="83">
        <f>IF(Inscriptions!D17="","",IF(Inscriptions!$D$21="","FORFAIT",Inscriptions!$E$21))</f>
      </c>
      <c r="F9" s="88">
        <f>IF(OR(ISBLANK(Inscriptions!$G$21),ISBLANK(Inscriptions!$G$11)),"",Inscriptions!$G$21)</f>
      </c>
      <c r="G9" s="340">
        <f>Inscriptions!H21</f>
      </c>
      <c r="H9" s="285"/>
      <c r="I9" s="402"/>
      <c r="J9" s="44" t="str">
        <f>IF(OR(ISBLANK(H9),ISBLANK(I8))," ",H9/I8)</f>
        <v> </v>
      </c>
      <c r="K9" s="45"/>
      <c r="L9" s="89" t="str">
        <f>IF(OR(ISBLANK(H8),ISBLANK(I8),ISBLANK(H9))," ",IF(AND(H8=Inscriptions!G11,H9=Inscriptions!G21),"Ex æquo",IF(H9=Inscriptions!G21,"vainqueur",IF(H9&gt;Inscriptions!G21," ERREUR trop de points",IF(AND(H9&lt;Inscriptions!G21,H8&lt;&gt;Inscriptions!G11),"ERREUR Manque des points","perdant")))))</f>
        <v> </v>
      </c>
      <c r="M9" s="119"/>
      <c r="N9" s="117">
        <f>IF(L9="vainqueur",Inscriptions!$D$42,IF(L9="perdant",Inscriptions!$F$42,IF(L9="Ex aequo",Inscriptions!$E$42,0)))</f>
        <v>0</v>
      </c>
      <c r="S9" s="23">
        <f>H9</f>
        <v>0</v>
      </c>
      <c r="U9" s="24"/>
      <c r="V9" s="24"/>
      <c r="W9" s="24"/>
      <c r="X9" s="24"/>
      <c r="Y9" s="24">
        <f>I8</f>
        <v>0</v>
      </c>
      <c r="Z9" s="24"/>
      <c r="AC9">
        <f>IF(ISBLANK($H$9),"",IF(AND($H$8&lt;$F$8,$H$9&lt;$F$9),5,))</f>
      </c>
      <c r="AF9">
        <f>IF(ISBLANK($H$9),"",IF(AND($H$8&lt;$F$8,$H$9&lt;$F$9),1,))</f>
      </c>
    </row>
    <row r="10" spans="1:26" ht="12.75">
      <c r="A10" s="391"/>
      <c r="B10" s="109"/>
      <c r="C10" s="20"/>
      <c r="D10" s="83"/>
      <c r="E10" s="83"/>
      <c r="F10" s="88"/>
      <c r="G10" s="340"/>
      <c r="H10" s="49"/>
      <c r="I10" s="206">
        <f>IF(I8&lt;&gt;"","",IF(OR(ISBLANK(H8),ISBLANK(H9)),"","joueur 2/5 SAISIR les REPRISES"))</f>
      </c>
      <c r="J10" s="40"/>
      <c r="K10" s="46"/>
      <c r="L10" s="90"/>
      <c r="M10" s="120"/>
      <c r="N10" s="121"/>
      <c r="U10" s="24"/>
      <c r="V10" s="24"/>
      <c r="W10" s="24"/>
      <c r="X10" s="24"/>
      <c r="Y10" s="24"/>
      <c r="Z10" s="24"/>
    </row>
    <row r="11" spans="1:31" ht="12.75">
      <c r="A11" s="391"/>
      <c r="B11" s="399" t="s">
        <v>31</v>
      </c>
      <c r="C11" s="32" t="str">
        <f>Inscriptions!M9</f>
        <v>joueur 3</v>
      </c>
      <c r="D11" s="83">
        <f>Inscriptions!D12</f>
        <v>0</v>
      </c>
      <c r="E11" s="83">
        <f>IF(Inscriptions!D17="","",IF(Inscriptions!$D$12="","FORFAIT",Inscriptions!$E$12))</f>
      </c>
      <c r="F11" s="88">
        <f>IF(OR(ISBLANK(Inscriptions!$G$12),ISBLANK(Inscriptions!$G$22)),"",Inscriptions!$G$12)</f>
      </c>
      <c r="G11" s="340">
        <f>Inscriptions!H12</f>
      </c>
      <c r="H11" s="285"/>
      <c r="I11" s="402"/>
      <c r="J11" s="44" t="str">
        <f>IF(OR(ISBLANK(H11),ISBLANK(I11))," ",H11/I11)</f>
        <v> </v>
      </c>
      <c r="K11" s="45"/>
      <c r="L11" s="89" t="str">
        <f>IF(OR(ISBLANK(H11),ISBLANK(I11),ISBLANK(H12))," ",IF(AND(H11=Inscriptions!G12,H12=Inscriptions!G22),"Ex æquo",IF(H11=Inscriptions!G12,"vainqueur",IF(H11&gt;Inscriptions!G12," ERREUR trop de points",IF(AND(H11&lt;Inscriptions!G12,H12&lt;&gt;Inscriptions!G22),"ERREUR Manque des points","perdant")))))</f>
        <v> </v>
      </c>
      <c r="M11" s="117">
        <f>IF(L11="vainqueur",Inscriptions!$D$42,IF(L11="perdant",Inscriptions!$F$42,IF(L11="Ex aequo",Inscriptions!$E$42,0)))</f>
        <v>0</v>
      </c>
      <c r="N11" s="122"/>
      <c r="Q11" s="23">
        <f>H11</f>
        <v>0</v>
      </c>
      <c r="U11" s="24"/>
      <c r="V11" s="24"/>
      <c r="W11" s="24">
        <f>I11</f>
        <v>0</v>
      </c>
      <c r="X11" s="24"/>
      <c r="Y11" s="24"/>
      <c r="Z11" s="24"/>
      <c r="AB11">
        <f>IF(ISBLANK($H$11),"",IF(AND($H$11&lt;$F$11,$H$12&lt;$F$12),3,))</f>
      </c>
      <c r="AE11">
        <f>IF(ISBLANK($H$11),"",IF(AND(H11&lt;$F$11,$H$12&lt;$F$12),1))</f>
      </c>
    </row>
    <row r="12" spans="1:32" ht="12.75">
      <c r="A12" s="392"/>
      <c r="B12" s="399"/>
      <c r="C12" s="33" t="str">
        <f>Inscriptions!M10</f>
        <v>joueur 6</v>
      </c>
      <c r="D12" s="83">
        <f>Inscriptions!D22</f>
        <v>0</v>
      </c>
      <c r="E12" s="83">
        <f>IF(Inscriptions!D17="","",IF(Inscriptions!$D$22="","FORFAIT",Inscriptions!$E$22))</f>
      </c>
      <c r="F12" s="88">
        <f>IF(OR(ISBLANK(Inscriptions!$G$22),ISBLANK(Inscriptions!$G$12)),"",Inscriptions!$G$22)</f>
      </c>
      <c r="G12" s="340">
        <f>Inscriptions!H22</f>
      </c>
      <c r="H12" s="285"/>
      <c r="I12" s="402"/>
      <c r="J12" s="44" t="str">
        <f>IF(OR(ISBLANK(H12),ISBLANK(I11))," ",H12/I11)</f>
        <v> </v>
      </c>
      <c r="K12" s="45"/>
      <c r="L12" s="89" t="str">
        <f>IF(OR(ISBLANK(H11),ISBLANK(I11),ISBLANK(H12))," ",IF(AND(H11=Inscriptions!G12,H12=Inscriptions!G22),"Ex æquo",IF(H12=Inscriptions!G22,"vainqueur",IF(H12&gt;Inscriptions!G22," ERREUR trop de points",IF(AND(H12&lt;Inscriptions!G22,H11&lt;&gt;Inscriptions!G12),"ERREUR Manque des points","perdant")))))</f>
        <v> </v>
      </c>
      <c r="M12" s="119"/>
      <c r="N12" s="117">
        <f>IF(L12="vainqueur",Inscriptions!$D$42,IF(L12="perdant",Inscriptions!$F$42,IF(L12="Ex aequo",Inscriptions!$E$42,0)))</f>
        <v>0</v>
      </c>
      <c r="T12" s="23">
        <f>H12</f>
        <v>0</v>
      </c>
      <c r="U12" s="24"/>
      <c r="V12" s="24"/>
      <c r="W12" s="24"/>
      <c r="X12" s="24"/>
      <c r="Y12" s="24"/>
      <c r="Z12" s="24">
        <f>I11</f>
        <v>0</v>
      </c>
      <c r="AC12">
        <f>IF(ISBLANK($H$12),"",IF(AND($H$11&lt;$F$11,$H$12&lt;$F$12),6,))</f>
      </c>
      <c r="AF12">
        <f>IF(ISBLANK($H$12),"",IF(AND($H$11&lt;$F$11,$H$12&lt;$F$12),1,))</f>
      </c>
    </row>
    <row r="13" spans="1:26" ht="12.75" customHeight="1" thickBot="1">
      <c r="A13" s="34"/>
      <c r="B13" s="36"/>
      <c r="C13" s="27"/>
      <c r="D13" s="41"/>
      <c r="E13" s="41"/>
      <c r="F13" s="50"/>
      <c r="G13" s="50"/>
      <c r="H13" s="50"/>
      <c r="I13" s="207">
        <f>IF(I11&lt;&gt;"","",IF(OR(ISBLANK(H11),ISBLANK(H12)),"","joueur 3/6 SAISIR les REPRISES"))</f>
      </c>
      <c r="J13" s="41"/>
      <c r="K13" s="47"/>
      <c r="L13" s="91"/>
      <c r="M13" s="123"/>
      <c r="N13" s="121"/>
      <c r="U13" s="24"/>
      <c r="V13" s="24"/>
      <c r="W13" s="24"/>
      <c r="X13" s="24"/>
      <c r="Y13" s="24"/>
      <c r="Z13" s="24"/>
    </row>
    <row r="14" spans="1:32" ht="7.5" customHeight="1" thickBot="1">
      <c r="A14" s="34"/>
      <c r="B14" s="34"/>
      <c r="D14" s="34"/>
      <c r="E14" s="34"/>
      <c r="F14" s="37"/>
      <c r="G14" s="37"/>
      <c r="H14" s="37"/>
      <c r="I14" s="34"/>
      <c r="J14" s="34"/>
      <c r="K14" s="34"/>
      <c r="L14" s="92"/>
      <c r="M14" s="124"/>
      <c r="N14" s="121"/>
      <c r="U14" s="24"/>
      <c r="V14" s="24"/>
      <c r="W14" s="24"/>
      <c r="X14" s="24"/>
      <c r="Y14" s="24"/>
      <c r="Z14" s="24"/>
      <c r="AB14" s="196">
        <f>SUM(AB5:AB11)</f>
        <v>0</v>
      </c>
      <c r="AC14" s="197">
        <f>SUM(AC5:AC12)</f>
        <v>0</v>
      </c>
      <c r="AE14" s="192"/>
      <c r="AF14" s="192"/>
    </row>
    <row r="15" spans="1:26" ht="5.25" customHeight="1">
      <c r="A15" s="34"/>
      <c r="B15" s="35"/>
      <c r="C15" s="26"/>
      <c r="D15" s="39"/>
      <c r="E15" s="39"/>
      <c r="F15" s="42"/>
      <c r="G15" s="42"/>
      <c r="H15" s="42"/>
      <c r="I15" s="39"/>
      <c r="J15" s="39"/>
      <c r="K15" s="48"/>
      <c r="L15" s="91"/>
      <c r="M15" s="123"/>
      <c r="N15" s="121"/>
      <c r="U15" s="24"/>
      <c r="V15" s="24"/>
      <c r="W15" s="24"/>
      <c r="X15" s="24"/>
      <c r="Y15" s="24"/>
      <c r="Z15" s="24"/>
    </row>
    <row r="16" spans="1:31" ht="12.75">
      <c r="A16" s="393" t="str">
        <f>Inscriptions!M13</f>
        <v>Tour 2</v>
      </c>
      <c r="B16" s="399" t="s">
        <v>30</v>
      </c>
      <c r="C16" s="28" t="str">
        <f>Inscriptions!M25</f>
        <v> joueur 1 </v>
      </c>
      <c r="D16" s="83">
        <f>Inscriptions!D10</f>
        <v>0</v>
      </c>
      <c r="E16" s="83">
        <f>IF(Inscriptions!D17="","",IF(Inscriptions!$D$10="","FORFAIT",Inscriptions!$E$10))</f>
      </c>
      <c r="F16" s="88">
        <f>IF(OR(ISBLANK(Inscriptions!$G$10),ISBLANK(Inscriptions!$G$22)),"",Inscriptions!$G$10)</f>
      </c>
      <c r="G16" s="340">
        <f>Inscriptions!H10</f>
      </c>
      <c r="H16" s="285"/>
      <c r="I16" s="402"/>
      <c r="J16" s="44" t="str">
        <f>IF(OR(ISBLANK(H16),ISBLANK(I16))," ",H16/I16)</f>
        <v> </v>
      </c>
      <c r="K16" s="45"/>
      <c r="L16" s="89" t="str">
        <f>IF(OR(ISBLANK(H16),ISBLANK(I16),ISBLANK(H17))," ",IF(AND(H16=Inscriptions!G10,H17=Inscriptions!G22),"Ex æquo",IF(H16=Inscriptions!G10,"vainqueur",IF(H16&gt;Inscriptions!G10," ERREUR trop de points",IF(AND(H16&lt;Inscriptions!G10,H17&lt;&gt;Inscriptions!G22),"ERREUR Manque des points","perdant")))))</f>
        <v> </v>
      </c>
      <c r="M16" s="117">
        <f>IF(L16="vainqueur",Inscriptions!$D$42,IF(L16="perdant",Inscriptions!$F$42,IF(L16="Ex aequo",Inscriptions!$E$42,0)))</f>
        <v>0</v>
      </c>
      <c r="N16" s="122"/>
      <c r="O16" s="23">
        <f>H16</f>
        <v>0</v>
      </c>
      <c r="U16" s="24">
        <f>I16</f>
        <v>0</v>
      </c>
      <c r="V16" s="24"/>
      <c r="W16" s="24"/>
      <c r="X16" s="24"/>
      <c r="Y16" s="24"/>
      <c r="Z16" s="24"/>
      <c r="AB16">
        <f>IF(ISBLANK($H$16),"",IF(AND($H$16&lt;$F$16,$H$17&lt;$F$17),1,))</f>
      </c>
      <c r="AE16">
        <f>IF(ISBLANK($H$16),"",IF(AND($H$16&lt;$F$16,$H$17&lt;$F$17),1,))</f>
      </c>
    </row>
    <row r="17" spans="1:32" ht="12.75">
      <c r="A17" s="394"/>
      <c r="B17" s="399"/>
      <c r="C17" s="33" t="str">
        <f>Inscriptions!M29</f>
        <v>joueur 6</v>
      </c>
      <c r="D17" s="83">
        <f>Inscriptions!D22</f>
        <v>0</v>
      </c>
      <c r="E17" s="83">
        <f>IF(Inscriptions!D17="","",IF(Inscriptions!$D$22="","FORFAIT",Inscriptions!$E$22))</f>
      </c>
      <c r="F17" s="88">
        <f>IF(OR(ISBLANK(Inscriptions!$G$22),ISBLANK(Inscriptions!$G$10)),"",Inscriptions!$G$22)</f>
      </c>
      <c r="G17" s="340">
        <f>Inscriptions!H22</f>
      </c>
      <c r="H17" s="285"/>
      <c r="I17" s="402"/>
      <c r="J17" s="44" t="str">
        <f>IF(OR(ISBLANK(H17),ISBLANK(I16))," ",H17/I16)</f>
        <v> </v>
      </c>
      <c r="K17" s="45"/>
      <c r="L17" s="89" t="str">
        <f>IF(OR(ISBLANK(H16),ISBLANK(I16),ISBLANK(H17))," ",IF(AND(H16=Inscriptions!G10,H17=Inscriptions!G22),"Ex æquo",IF(H17=Inscriptions!G22,"vainqueur",IF(H17&gt;Inscriptions!G22," ERREUR trop de points",IF(AND(H17&lt;Inscriptions!G22,H16&lt;&gt;Inscriptions!G10),"ERREUR Manque des points","perdant")))))</f>
        <v> </v>
      </c>
      <c r="M17" s="119"/>
      <c r="N17" s="117">
        <f>IF(L17="vainqueur",Inscriptions!$D$42,IF(L17="perdant",Inscriptions!$F$42,IF(L17="Ex aequo",Inscriptions!$E$42,0)))</f>
        <v>0</v>
      </c>
      <c r="T17" s="23">
        <f>H17</f>
        <v>0</v>
      </c>
      <c r="U17" s="24"/>
      <c r="V17" s="24"/>
      <c r="W17" s="24"/>
      <c r="X17" s="24"/>
      <c r="Y17" s="24"/>
      <c r="Z17" s="24">
        <f>I16</f>
        <v>0</v>
      </c>
      <c r="AC17">
        <f>IF(ISBLANK($H$17),"",IF(AND($H$16&lt;$F$16,$H$17&lt;$F$17),6,))</f>
      </c>
      <c r="AF17">
        <f>IF(ISBLANK($H$17),"",IF(AND($H$16&lt;$F$16,$H$17&lt;$F$17),1,))</f>
      </c>
    </row>
    <row r="18" spans="1:26" ht="12.75">
      <c r="A18" s="394"/>
      <c r="B18" s="109"/>
      <c r="C18" s="20"/>
      <c r="D18" s="83"/>
      <c r="E18" s="83"/>
      <c r="F18" s="88"/>
      <c r="G18" s="340"/>
      <c r="I18" s="206">
        <f>IF(I16&lt;&gt;"","",IF(OR(ISBLANK(H16),ISBLANK(H17)),"","joueur 1/6 SAISIR les REPRISES"))</f>
      </c>
      <c r="J18" s="206"/>
      <c r="K18" s="45"/>
      <c r="L18" s="92"/>
      <c r="M18" s="124"/>
      <c r="N18" s="121"/>
      <c r="U18" s="24"/>
      <c r="V18" s="24"/>
      <c r="W18" s="24"/>
      <c r="X18" s="24"/>
      <c r="Y18" s="24"/>
      <c r="Z18" s="24"/>
    </row>
    <row r="19" spans="1:31" ht="12.75">
      <c r="A19" s="394"/>
      <c r="B19" s="399" t="s">
        <v>31</v>
      </c>
      <c r="C19" s="30" t="str">
        <f>Inscriptions!M28</f>
        <v>joueur 2</v>
      </c>
      <c r="D19" s="83">
        <f>Inscriptions!D11</f>
        <v>0</v>
      </c>
      <c r="E19" s="83">
        <f>IF(Inscriptions!D17="","",IF(Inscriptions!$D$11="","FORFAIT",Inscriptions!$E$11))</f>
      </c>
      <c r="F19" s="88">
        <f>IF(OR(ISBLANK(Inscriptions!$G$11),ISBLANK(Inscriptions!$G$20)),"",Inscriptions!$G$11)</f>
      </c>
      <c r="G19" s="340">
        <f>Inscriptions!H11</f>
      </c>
      <c r="H19" s="285"/>
      <c r="I19" s="402"/>
      <c r="J19" s="44" t="str">
        <f>IF(OR(ISBLANK(H19),ISBLANK(I19))," ",H19/I19)</f>
        <v> </v>
      </c>
      <c r="K19" s="45"/>
      <c r="L19" s="89" t="str">
        <f>IF(OR(ISBLANK(H19),ISBLANK(I19),ISBLANK(H20))," ",IF(AND(H19=Inscriptions!G11,H20=Inscriptions!G20),"Ex æquo",IF(H19=Inscriptions!G11,"vainqueur",IF(H19&gt;Inscriptions!G11," ERREUR trop de points",IF(AND(H19&lt;Inscriptions!G11,H20&lt;&gt;Inscriptions!G20),"ERREUR Manque des points","perdant")))))</f>
        <v> </v>
      </c>
      <c r="M19" s="117">
        <f>IF(L19="vainqueur",Inscriptions!$D$42,IF(L19="perdant",Inscriptions!$F$42,IF(L19="Ex aequo",Inscriptions!$E$42,0)))</f>
        <v>0</v>
      </c>
      <c r="N19" s="122"/>
      <c r="P19" s="23">
        <f>H19</f>
        <v>0</v>
      </c>
      <c r="U19" s="24"/>
      <c r="V19" s="24">
        <f>I19</f>
        <v>0</v>
      </c>
      <c r="W19" s="24"/>
      <c r="X19" s="24"/>
      <c r="Y19" s="24"/>
      <c r="Z19" s="24"/>
      <c r="AB19">
        <f>IF(ISBLANK($H$19),"",IF(AND($H$19&lt;$F$19,$H$20&lt;$F$20),2,))</f>
      </c>
      <c r="AE19">
        <f>IF(ISBLANK($H$19),"",IF(AND($H$19&lt;$F$19,$H$20&lt;$F$20),1,))</f>
      </c>
    </row>
    <row r="20" spans="1:32" ht="12.75">
      <c r="A20" s="394"/>
      <c r="B20" s="399"/>
      <c r="C20" s="29" t="str">
        <f>Inscriptions!M32</f>
        <v>joueur 4</v>
      </c>
      <c r="D20" s="83">
        <f>Inscriptions!D20</f>
        <v>0</v>
      </c>
      <c r="E20" s="83">
        <f>IF(Inscriptions!D17="","",IF(Inscriptions!$D$20="","FORFAIT",Inscriptions!$E$20))</f>
      </c>
      <c r="F20" s="88">
        <f>IF(OR(ISBLANK(Inscriptions!$G$20),ISBLANK(Inscriptions!$G$11)),"",Inscriptions!$G$20)</f>
      </c>
      <c r="G20" s="340">
        <f>Inscriptions!H20</f>
      </c>
      <c r="H20" s="285"/>
      <c r="I20" s="402"/>
      <c r="J20" s="44" t="str">
        <f>IF(OR(ISBLANK(H20),ISBLANK(I19))," ",H20/I19)</f>
        <v> </v>
      </c>
      <c r="K20" s="45"/>
      <c r="L20" s="89" t="str">
        <f>IF(OR(ISBLANK(H19),ISBLANK(I19),ISBLANK(H20))," ",IF(AND(H19=Inscriptions!G11,H20=Inscriptions!G20),"Ex æquo",IF(H20=Inscriptions!G20,"vainqueur",IF(H20&gt;Inscriptions!G20," ERREUR trop de points",IF(AND(H20&lt;Inscriptions!G20,H19&lt;&gt;Inscriptions!G11),"ERREUR Manque des points","perdant")))))</f>
        <v> </v>
      </c>
      <c r="M20" s="119"/>
      <c r="N20" s="117">
        <f>IF(L20="vainqueur",Inscriptions!$D$42,IF(L20="perdant",Inscriptions!$F$42,IF(L20="Ex aequo",Inscriptions!$E$42,0)))</f>
        <v>0</v>
      </c>
      <c r="R20" s="23">
        <f>H20</f>
        <v>0</v>
      </c>
      <c r="U20" s="24"/>
      <c r="V20" s="24"/>
      <c r="W20" s="24"/>
      <c r="X20" s="24">
        <f>I19</f>
        <v>0</v>
      </c>
      <c r="Y20" s="24"/>
      <c r="Z20" s="24"/>
      <c r="AC20">
        <f>IF(ISBLANK($H$20),"",IF(AND($H$19&lt;$F$19,$H$20&lt;$F$20),4,))</f>
      </c>
      <c r="AF20">
        <f>IF(ISBLANK($H$20),"",IF(AND($H$19&lt;$F$19,$H$20&lt;$F$20),1,))</f>
      </c>
    </row>
    <row r="21" spans="1:26" ht="12.75">
      <c r="A21" s="394"/>
      <c r="B21" s="109"/>
      <c r="C21" s="20"/>
      <c r="D21" s="83"/>
      <c r="E21" s="83"/>
      <c r="F21" s="88"/>
      <c r="G21" s="340"/>
      <c r="H21" s="49"/>
      <c r="I21" s="206">
        <f>IF(I19&lt;&gt;"","",IF(OR(ISBLANK(H19),ISBLANK(H20)),"","joueur 2/4 SAISIR les REPRISES"))</f>
      </c>
      <c r="J21" s="40"/>
      <c r="K21" s="46"/>
      <c r="L21" s="90"/>
      <c r="M21" s="120"/>
      <c r="N21" s="121"/>
      <c r="U21" s="24"/>
      <c r="V21" s="24"/>
      <c r="W21" s="24"/>
      <c r="X21" s="24"/>
      <c r="Y21" s="24"/>
      <c r="Z21" s="24"/>
    </row>
    <row r="22" spans="1:31" ht="12.75">
      <c r="A22" s="394"/>
      <c r="B22" s="399" t="s">
        <v>29</v>
      </c>
      <c r="C22" s="32" t="str">
        <f>Inscriptions!M31</f>
        <v>joueur 3</v>
      </c>
      <c r="D22" s="83">
        <f>Inscriptions!D12</f>
        <v>0</v>
      </c>
      <c r="E22" s="83">
        <f>IF(Inscriptions!D17="","",IF(Inscriptions!$D$12="","FORFAIT",Inscriptions!$E$12))</f>
      </c>
      <c r="F22" s="88">
        <f>IF(OR(ISBLANK(Inscriptions!$G$12),ISBLANK(Inscriptions!$G$21)),"",Inscriptions!$G$12)</f>
      </c>
      <c r="G22" s="340">
        <f>Inscriptions!H12</f>
      </c>
      <c r="H22" s="285"/>
      <c r="I22" s="402"/>
      <c r="J22" s="44" t="str">
        <f>IF(OR(ISBLANK(H22),ISBLANK(I22))," ",H22/I22)</f>
        <v> </v>
      </c>
      <c r="K22" s="45"/>
      <c r="L22" s="89" t="str">
        <f>IF(OR(ISBLANK(H22),ISBLANK(I22),ISBLANK(H23))," ",IF(AND(H22=Inscriptions!G12,H23=Inscriptions!G21),"Ex æquo",IF(H22=Inscriptions!G12,"vainqueur",IF(H22&gt;Inscriptions!G12," ERREUR trop de points",IF(AND(H22&lt;Inscriptions!G12,H23&lt;&gt;Inscriptions!G21),"ERREUR Manque des points","perdant")))))</f>
        <v> </v>
      </c>
      <c r="M22" s="117">
        <f>IF(L22="vainqueur",Inscriptions!$D$42,IF(L22="perdant",Inscriptions!$F$42,IF(L22="Ex aequo",Inscriptions!$E$42,0)))</f>
        <v>0</v>
      </c>
      <c r="N22" s="122"/>
      <c r="Q22" s="23">
        <f>H22</f>
        <v>0</v>
      </c>
      <c r="U22" s="24"/>
      <c r="V22" s="24"/>
      <c r="W22" s="24">
        <f>I22</f>
        <v>0</v>
      </c>
      <c r="X22" s="24"/>
      <c r="Y22" s="24"/>
      <c r="Z22" s="24"/>
      <c r="AB22">
        <f>IF(ISBLANK($H$22),"",IF(AND($H$22&lt;$F$22,$H$23&lt;$F$23),3,))</f>
      </c>
      <c r="AE22">
        <f>IF(ISBLANK($H$22),"",IF(AND($H$22&lt;$F$22,$H$23&lt;$F$23),1,))</f>
      </c>
    </row>
    <row r="23" spans="1:32" ht="12.75">
      <c r="A23" s="395"/>
      <c r="B23" s="399"/>
      <c r="C23" s="31" t="str">
        <f>Inscriptions!M26</f>
        <v>joueur 5</v>
      </c>
      <c r="D23" s="83">
        <f>Inscriptions!D21</f>
        <v>0</v>
      </c>
      <c r="E23" s="83">
        <f>IF(Inscriptions!D17="","",IF(Inscriptions!$D$21="","FORFAIT",Inscriptions!$E$21))</f>
      </c>
      <c r="F23" s="88">
        <f>IF(OR(ISBLANK(Inscriptions!$G$21),ISBLANK(Inscriptions!$G$12)),"",Inscriptions!$G$21)</f>
      </c>
      <c r="G23" s="340">
        <f>Inscriptions!H21</f>
      </c>
      <c r="H23" s="285"/>
      <c r="I23" s="402"/>
      <c r="J23" s="44" t="str">
        <f>IF(OR(ISBLANK(H23),ISBLANK(I22))," ",H23/I22)</f>
        <v> </v>
      </c>
      <c r="K23" s="45"/>
      <c r="L23" s="89" t="str">
        <f>IF(OR(ISBLANK(H22),ISBLANK(I22),ISBLANK(H23))," ",IF(AND(H22=Inscriptions!G12,H23=Inscriptions!G21),"Ex æquo",IF(H23=Inscriptions!G21,"vainqueur",IF(H23&gt;Inscriptions!G21," ERREUR trop de points",IF(AND(H23&lt;Inscriptions!G21,H22&lt;&gt;Inscriptions!G12),"ERREUR Manque des points","perdant")))))</f>
        <v> </v>
      </c>
      <c r="M23" s="119"/>
      <c r="N23" s="117">
        <f>IF(L23="vainqueur",Inscriptions!$D$42,IF(L23="perdant",Inscriptions!$F$42,IF(L23="Ex aequo",Inscriptions!$E$42,0)))</f>
        <v>0</v>
      </c>
      <c r="S23" s="23">
        <f>H23</f>
        <v>0</v>
      </c>
      <c r="U23" s="24"/>
      <c r="V23" s="24"/>
      <c r="W23" s="24"/>
      <c r="X23" s="24"/>
      <c r="Y23" s="24">
        <f>I22</f>
        <v>0</v>
      </c>
      <c r="Z23" s="24"/>
      <c r="AC23">
        <f>IF(ISBLANK($H$23),"",IF(AND($H$22&lt;$F$22,$H$23&lt;$F$23),5,))</f>
      </c>
      <c r="AF23">
        <f>IF(ISBLANK($H$23),"",IF(AND($H$22&lt;$F$22,$H$23&lt;$F$23),1,))</f>
      </c>
    </row>
    <row r="24" spans="1:26" ht="12.75" customHeight="1" thickBot="1">
      <c r="A24" s="34"/>
      <c r="B24" s="36"/>
      <c r="C24" s="27"/>
      <c r="D24" s="41"/>
      <c r="E24" s="41"/>
      <c r="F24" s="50"/>
      <c r="G24" s="50"/>
      <c r="H24" s="50"/>
      <c r="I24" s="207">
        <f>IF(I22&lt;&gt;"","",IF(OR(ISBLANK(H22),ISBLANK(H23)),"","joueur 3/5 SAISIR les REPRISES"))</f>
      </c>
      <c r="J24" s="41"/>
      <c r="K24" s="47"/>
      <c r="L24" s="90"/>
      <c r="M24" s="120"/>
      <c r="N24" s="121"/>
      <c r="U24" s="24"/>
      <c r="V24" s="24"/>
      <c r="W24" s="24"/>
      <c r="X24" s="24"/>
      <c r="Y24" s="24"/>
      <c r="Z24" s="24"/>
    </row>
    <row r="25" spans="1:32" ht="5.25" customHeight="1" thickBot="1">
      <c r="A25" s="34"/>
      <c r="B25" s="34"/>
      <c r="D25" s="34"/>
      <c r="E25" s="34"/>
      <c r="F25" s="37"/>
      <c r="G25" s="37"/>
      <c r="H25" s="37"/>
      <c r="I25" s="34"/>
      <c r="J25" s="34"/>
      <c r="K25" s="34"/>
      <c r="L25" s="92"/>
      <c r="M25" s="124"/>
      <c r="N25" s="121"/>
      <c r="U25" s="24"/>
      <c r="V25" s="24"/>
      <c r="W25" s="24"/>
      <c r="X25" s="24"/>
      <c r="Y25" s="24"/>
      <c r="Z25" s="24"/>
      <c r="AB25" s="196">
        <f>SUM(AB16:AB23)</f>
        <v>0</v>
      </c>
      <c r="AC25" s="197">
        <f>SUM(AC16:AC23)</f>
        <v>0</v>
      </c>
      <c r="AE25" s="192"/>
      <c r="AF25" s="192"/>
    </row>
    <row r="26" spans="1:26" ht="5.25" customHeight="1">
      <c r="A26" s="108"/>
      <c r="B26" s="35"/>
      <c r="C26" s="26"/>
      <c r="D26" s="39"/>
      <c r="E26" s="39"/>
      <c r="F26" s="42"/>
      <c r="G26" s="42"/>
      <c r="H26" s="42"/>
      <c r="I26" s="39"/>
      <c r="J26" s="39"/>
      <c r="K26" s="48"/>
      <c r="L26" s="90"/>
      <c r="M26" s="120"/>
      <c r="N26" s="121"/>
      <c r="U26" s="24"/>
      <c r="V26" s="24"/>
      <c r="W26" s="24"/>
      <c r="X26" s="24"/>
      <c r="Y26" s="24"/>
      <c r="Z26" s="24"/>
    </row>
    <row r="27" spans="1:31" ht="12.75">
      <c r="A27" s="396" t="str">
        <f>Inscriptions!M24</f>
        <v>Tour 3</v>
      </c>
      <c r="B27" s="399" t="s">
        <v>31</v>
      </c>
      <c r="C27" s="28" t="str">
        <f>Inscriptions!M14</f>
        <v> joueur 1 </v>
      </c>
      <c r="D27" s="83">
        <f>Inscriptions!D10</f>
        <v>0</v>
      </c>
      <c r="E27" s="83">
        <f>IF(Inscriptions!D17="","",IF(Inscriptions!$D$10="","FORFAIT",Inscriptions!$E$10))</f>
      </c>
      <c r="F27" s="88">
        <f>IF(OR(ISBLANK(Inscriptions!$G$10),ISBLANK(Inscriptions!$G$21)),"",Inscriptions!$G$10)</f>
      </c>
      <c r="G27" s="340">
        <f>Inscriptions!H10</f>
      </c>
      <c r="H27" s="285"/>
      <c r="I27" s="402"/>
      <c r="J27" s="44" t="str">
        <f>IF(OR(ISBLANK(H27),ISBLANK(I27))," ",H27/I27)</f>
        <v> </v>
      </c>
      <c r="K27" s="45"/>
      <c r="L27" s="89" t="str">
        <f>IF(OR(ISBLANK(H27),ISBLANK(I27),ISBLANK(H28))," ",IF(AND(H27=Inscriptions!G10,H28=Inscriptions!G21),"Ex æquo",IF(H27=Inscriptions!G10,"vainqueur",IF(H27&gt;Inscriptions!G10," ERREUR trop de points",IF(AND(H27&lt;Inscriptions!G10,H28&lt;&gt;Inscriptions!G21),"ERREUR Manque des points","perdant")))))</f>
        <v> </v>
      </c>
      <c r="M27" s="117">
        <f>IF(L27="vainqueur",Inscriptions!$D$42,IF(L27="perdant",Inscriptions!$F$42,IF(L27="Ex aequo",Inscriptions!$E$42,0)))</f>
        <v>0</v>
      </c>
      <c r="N27" s="122"/>
      <c r="O27" s="23">
        <f>H27</f>
        <v>0</v>
      </c>
      <c r="U27" s="24">
        <f>I27</f>
        <v>0</v>
      </c>
      <c r="V27" s="24"/>
      <c r="W27" s="24"/>
      <c r="X27" s="24"/>
      <c r="Y27" s="24"/>
      <c r="Z27" s="24"/>
      <c r="AB27">
        <f>IF(ISBLANK($H$27),"",IF(AND($H$27&lt;$F$27,$H$28&lt;$F$28),1,))</f>
      </c>
      <c r="AE27">
        <f>IF(ISBLANK($H$27),"",IF(AND($H$27&lt;$F$27,$H$28&lt;$F$28),1,))</f>
      </c>
    </row>
    <row r="28" spans="1:32" ht="12.75">
      <c r="A28" s="397"/>
      <c r="B28" s="399"/>
      <c r="C28" s="31" t="str">
        <f>Inscriptions!M21</f>
        <v>joueur 5</v>
      </c>
      <c r="D28" s="83">
        <f>Inscriptions!D21</f>
        <v>0</v>
      </c>
      <c r="E28" s="83">
        <f>IF(Inscriptions!D17="","",IF(Inscriptions!$D$21="","FORFAIT",Inscriptions!$E$21))</f>
      </c>
      <c r="F28" s="88">
        <f>IF(OR(ISBLANK(Inscriptions!$G$21),ISBLANK(Inscriptions!$G$10)),"",Inscriptions!$G$21)</f>
      </c>
      <c r="G28" s="340">
        <f>Inscriptions!H21</f>
      </c>
      <c r="H28" s="285"/>
      <c r="I28" s="402"/>
      <c r="J28" s="44" t="str">
        <f>IF(OR(ISBLANK(H28),ISBLANK(I27))," ",H28/I27)</f>
        <v> </v>
      </c>
      <c r="K28" s="45"/>
      <c r="L28" s="89" t="str">
        <f>IF(OR(ISBLANK(H27),ISBLANK(I27),ISBLANK(H28))," ",IF(AND(H27=Inscriptions!G10,H28=Inscriptions!G21),"Ex æquo",IF(H28=Inscriptions!G21,"vainqueur",IF(H28&gt;Inscriptions!G21," ERREUR trop de points",IF(AND(H28&lt;Inscriptions!G21,H27&lt;&gt;Inscriptions!G10),"ERREUR Manque des points","perdant")))))</f>
        <v> </v>
      </c>
      <c r="M28" s="119"/>
      <c r="N28" s="117">
        <f>IF(L28="vainqueur",Inscriptions!$D$42,IF(L28="perdant",Inscriptions!$F$42,IF(L28="Ex aequo",Inscriptions!$E$42,0)))</f>
        <v>0</v>
      </c>
      <c r="S28" s="23">
        <f>H28</f>
        <v>0</v>
      </c>
      <c r="U28" s="24"/>
      <c r="V28" s="24"/>
      <c r="W28" s="24"/>
      <c r="X28" s="24"/>
      <c r="Y28" s="24">
        <f>I27</f>
        <v>0</v>
      </c>
      <c r="Z28" s="24"/>
      <c r="AC28">
        <f>IF(ISBLANK($H$28),"",IF(AND($H$27&lt;$F$27,$H$28&lt;$F$28),5,))</f>
      </c>
      <c r="AF28">
        <f>IF(ISBLANK($H$28),"",IF(AND($H$27&lt;$F$27,$H$28&lt;$F$28),1,))</f>
      </c>
    </row>
    <row r="29" spans="1:26" ht="12.75">
      <c r="A29" s="397"/>
      <c r="B29" s="109"/>
      <c r="C29" s="20"/>
      <c r="D29" s="83"/>
      <c r="E29" s="83"/>
      <c r="F29" s="88"/>
      <c r="G29" s="340"/>
      <c r="I29" s="206">
        <f>IF(I27&lt;&gt;"","",IF(OR(ISBLANK(H27),ISBLANK(H28)),"","joueur 1/5 SAISIR les REPRISES"))</f>
      </c>
      <c r="J29" s="40"/>
      <c r="K29" s="46"/>
      <c r="L29" s="90"/>
      <c r="M29" s="120"/>
      <c r="N29" s="121"/>
      <c r="U29" s="24"/>
      <c r="V29" s="24"/>
      <c r="W29" s="24"/>
      <c r="X29" s="24"/>
      <c r="Y29" s="24"/>
      <c r="Z29" s="24"/>
    </row>
    <row r="30" spans="1:31" ht="12.75">
      <c r="A30" s="397"/>
      <c r="B30" s="399" t="s">
        <v>29</v>
      </c>
      <c r="C30" s="30" t="str">
        <f>Inscriptions!M17</f>
        <v>joueur 2</v>
      </c>
      <c r="D30" s="83">
        <f>Inscriptions!D11</f>
        <v>0</v>
      </c>
      <c r="E30" s="83">
        <f>IF(Inscriptions!D17="","",IF(Inscriptions!$D$11="","FORFAIT",Inscriptions!$E$11))</f>
      </c>
      <c r="F30" s="88">
        <f>IF(OR(ISBLANK(Inscriptions!$G$11),ISBLANK(Inscriptions!$G$22)),"",Inscriptions!$G$11)</f>
      </c>
      <c r="G30" s="340">
        <f>Inscriptions!H11</f>
      </c>
      <c r="H30" s="285"/>
      <c r="I30" s="402"/>
      <c r="J30" s="44" t="str">
        <f>IF(OR(ISBLANK(H30),ISBLANK(I30))," ",H30/I30)</f>
        <v> </v>
      </c>
      <c r="K30" s="45"/>
      <c r="L30" s="89" t="str">
        <f>IF(OR(ISBLANK(H30),ISBLANK(I30),ISBLANK(H31))," ",IF(AND(H30=Inscriptions!G11,H31=Inscriptions!G22),"Ex æquo",IF(H30=Inscriptions!G11,"vainqueur",IF(H30&gt;Inscriptions!G11," ERREUR trop de points",IF(AND(H30&lt;Inscriptions!G11,H31&lt;&gt;Inscriptions!G22),"ERREUR Manque des points","perdant")))))</f>
        <v> </v>
      </c>
      <c r="M30" s="117">
        <f>IF(L30="vainqueur",Inscriptions!$D$42,IF(L30="perdant",Inscriptions!$F$42,IF(L30="Ex aequo",Inscriptions!$E$42,0)))</f>
        <v>0</v>
      </c>
      <c r="N30" s="122"/>
      <c r="P30" s="23">
        <f>H30</f>
        <v>0</v>
      </c>
      <c r="U30" s="24"/>
      <c r="V30" s="24">
        <f>I30</f>
        <v>0</v>
      </c>
      <c r="W30" s="24"/>
      <c r="X30" s="24"/>
      <c r="Y30" s="24"/>
      <c r="Z30" s="24"/>
      <c r="AB30">
        <f>IF(ISBLANK($H$30),"",IF(AND($H$30&lt;$F$30,$H$31&lt;$F$31),2,))</f>
      </c>
      <c r="AE30">
        <f>IF(ISBLANK($H$30),"",IF(AND($H$30&lt;$F$30,$H$31&lt;$F$31),1,))</f>
      </c>
    </row>
    <row r="31" spans="1:32" ht="12.75">
      <c r="A31" s="397"/>
      <c r="B31" s="399"/>
      <c r="C31" s="33" t="str">
        <f>Inscriptions!M15</f>
        <v>joueur 6</v>
      </c>
      <c r="D31" s="83">
        <f>Inscriptions!D22</f>
        <v>0</v>
      </c>
      <c r="E31" s="83">
        <f>IF(Inscriptions!D17="","",IF(Inscriptions!$D$22="","FORFAIT",Inscriptions!$E$22))</f>
      </c>
      <c r="F31" s="88">
        <f>IF(OR(ISBLANK(Inscriptions!$G$22),ISBLANK(Inscriptions!$G$11)),"",Inscriptions!$G$22)</f>
      </c>
      <c r="G31" s="340">
        <f>Inscriptions!H22</f>
      </c>
      <c r="H31" s="285"/>
      <c r="I31" s="402"/>
      <c r="J31" s="44" t="str">
        <f>IF(OR(ISBLANK(H31),ISBLANK(I30))," ",H31/I30)</f>
        <v> </v>
      </c>
      <c r="K31" s="45"/>
      <c r="L31" s="89" t="str">
        <f>IF(OR(ISBLANK(H30),ISBLANK(I30),ISBLANK(H31))," ",IF(AND(H30=Inscriptions!G11,H31=Inscriptions!G22),"Ex æquo",IF(H31=Inscriptions!G22,"vainqueur",IF(H31&gt;Inscriptions!G22," ERREUR trop de points",IF(AND(H31&lt;Inscriptions!G22,H30&lt;&gt;Inscriptions!G11),"ERREUR Manque des points","perdant")))))</f>
        <v> </v>
      </c>
      <c r="M31" s="119"/>
      <c r="N31" s="117">
        <f>IF(L31="vainqueur",Inscriptions!$D$42,IF(L31="perdant",Inscriptions!$F$42,IF(L31="Ex aequo",Inscriptions!$E$42,0)))</f>
        <v>0</v>
      </c>
      <c r="T31" s="23">
        <f>H31</f>
        <v>0</v>
      </c>
      <c r="U31" s="24"/>
      <c r="V31" s="24"/>
      <c r="W31" s="24"/>
      <c r="X31" s="24"/>
      <c r="Y31" s="24"/>
      <c r="Z31" s="24">
        <f>I30</f>
        <v>0</v>
      </c>
      <c r="AC31">
        <f>IF(ISBLANK($H$31),"",IF(AND($H$30&lt;$F$30,$H$31&lt;$F$31),6,))</f>
      </c>
      <c r="AF31">
        <f>IF(ISBLANK($H$31),"",IF(AND($H$30&lt;$F$30,$H$31&lt;$F$31),1,))</f>
      </c>
    </row>
    <row r="32" spans="1:26" ht="12.75">
      <c r="A32" s="397"/>
      <c r="B32" s="109"/>
      <c r="C32" s="20"/>
      <c r="D32" s="83"/>
      <c r="E32" s="83"/>
      <c r="F32" s="88"/>
      <c r="G32" s="340"/>
      <c r="H32" s="49"/>
      <c r="I32" s="206">
        <f>IF(I30&lt;&gt;"","",IF(OR(ISBLANK(H30),ISBLANK(H31)),"","joueur 2/6 SAISIR les REPRISES"))</f>
      </c>
      <c r="J32" s="40"/>
      <c r="K32" s="46"/>
      <c r="L32" s="90"/>
      <c r="M32" s="120"/>
      <c r="N32" s="121"/>
      <c r="U32" s="24"/>
      <c r="V32" s="24"/>
      <c r="W32" s="24"/>
      <c r="X32" s="24"/>
      <c r="Y32" s="24"/>
      <c r="Z32" s="24"/>
    </row>
    <row r="33" spans="1:31" ht="12.75">
      <c r="A33" s="397"/>
      <c r="B33" s="399" t="s">
        <v>30</v>
      </c>
      <c r="C33" s="32" t="str">
        <f>Inscriptions!M20</f>
        <v>joueur 3</v>
      </c>
      <c r="D33" s="83">
        <f>Inscriptions!D12</f>
        <v>0</v>
      </c>
      <c r="E33" s="83">
        <f>IF(Inscriptions!D17="","",IF(Inscriptions!$D$12="","FORFAIT",Inscriptions!$E$12))</f>
      </c>
      <c r="F33" s="88">
        <f>IF(OR(ISBLANK(Inscriptions!$G$12),ISBLANK(Inscriptions!$G$20)),"",Inscriptions!$G$12)</f>
      </c>
      <c r="G33" s="340">
        <f>Inscriptions!H12</f>
      </c>
      <c r="H33" s="285"/>
      <c r="I33" s="402"/>
      <c r="J33" s="44" t="str">
        <f>IF(OR(ISBLANK(H33),ISBLANK(I33))," ",H33/I33)</f>
        <v> </v>
      </c>
      <c r="K33" s="45"/>
      <c r="L33" s="89" t="str">
        <f>IF(OR(ISBLANK(H33),ISBLANK(I33),ISBLANK(H34))," ",IF(AND(H33=Inscriptions!G12,H34=Inscriptions!G20),"Ex æquo",IF(H33=Inscriptions!G12,"vainqueur",IF(H33&gt;Inscriptions!G12," ERREUR trop de points",IF(AND(H33&lt;Inscriptions!G12,H34&lt;&gt;Inscriptions!G20),"ERREUR Manque des points","perdant")))))</f>
        <v> </v>
      </c>
      <c r="M33" s="117">
        <f>IF(L33="vainqueur",Inscriptions!$D$42,IF(L33="perdant",Inscriptions!$F$42,IF(L33="Ex aequo",Inscriptions!$E$42,0)))</f>
        <v>0</v>
      </c>
      <c r="N33" s="122"/>
      <c r="Q33" s="23">
        <f>H33</f>
        <v>0</v>
      </c>
      <c r="U33" s="24"/>
      <c r="V33" s="24"/>
      <c r="W33" s="24">
        <f>I33</f>
        <v>0</v>
      </c>
      <c r="X33" s="24"/>
      <c r="Y33" s="24"/>
      <c r="Z33" s="24"/>
      <c r="AB33">
        <f>IF(ISBLANK($H$33),"",IF(AND($H$33&lt;$F$33,$H$34&lt;$F$34),3,))</f>
      </c>
      <c r="AE33">
        <f>IF(ISBLANK($H$33),"",IF(AND($H$33&lt;$F$33,$H$34&lt;$F$34),1,))</f>
      </c>
    </row>
    <row r="34" spans="1:32" ht="12.75" customHeight="1">
      <c r="A34" s="398"/>
      <c r="B34" s="399"/>
      <c r="C34" s="29" t="str">
        <f>Inscriptions!M18</f>
        <v>joueur 4</v>
      </c>
      <c r="D34" s="83">
        <f>Inscriptions!D20</f>
        <v>0</v>
      </c>
      <c r="E34" s="83">
        <f>IF(Inscriptions!D17="","",IF(Inscriptions!$D$20="","FORFAIT",Inscriptions!$E$20))</f>
      </c>
      <c r="F34" s="88">
        <f>IF(OR(ISBLANK(Inscriptions!$G$20),ISBLANK(Inscriptions!$G$12)),"",Inscriptions!$G$20)</f>
      </c>
      <c r="G34" s="340">
        <f>Inscriptions!H20</f>
      </c>
      <c r="H34" s="285"/>
      <c r="I34" s="402"/>
      <c r="J34" s="44" t="str">
        <f>IF(OR(ISBLANK(H34),ISBLANK(I33))," ",H34/I33)</f>
        <v> </v>
      </c>
      <c r="K34" s="45"/>
      <c r="L34" s="89" t="str">
        <f>IF(OR(ISBLANK(H33),ISBLANK(I33),ISBLANK(H34))," ",IF(AND(H33=Inscriptions!G12,H34=Inscriptions!G20),"Ex æquo",IF(H34=Inscriptions!G20,"vainqueur",IF(H34&gt;Inscriptions!G20," ERREUR trop de points",IF(AND(H34&lt;Inscriptions!G20,H33&lt;&gt;Inscriptions!G12),"ERREUR Manque des points","perdant")))))</f>
        <v> </v>
      </c>
      <c r="M34" s="119"/>
      <c r="N34" s="117">
        <f>IF(L34="vainqueur",Inscriptions!$D$42,IF(L34="perdant",Inscriptions!$F$42,IF(L34="Ex aequo",Inscriptions!$E$42,0)))</f>
        <v>0</v>
      </c>
      <c r="R34" s="23">
        <f>H34</f>
        <v>0</v>
      </c>
      <c r="U34" s="24"/>
      <c r="V34" s="24"/>
      <c r="W34" s="24"/>
      <c r="X34" s="24">
        <f>I33</f>
        <v>0</v>
      </c>
      <c r="Y34" s="24"/>
      <c r="Z34" s="24"/>
      <c r="AC34">
        <f>IF(ISBLANK($H$34),"",IF(AND($H$33&lt;$F$33,$H$34&lt;$F$34),4,))</f>
      </c>
      <c r="AF34">
        <f>IF(ISBLANK($H$34),"",IF(AND($H$33&lt;$F$33,$H$34&lt;$F$34),1,))</f>
      </c>
    </row>
    <row r="35" spans="1:26" ht="13.5" customHeight="1" thickBot="1">
      <c r="A35" s="34"/>
      <c r="B35" s="36"/>
      <c r="C35" s="27"/>
      <c r="D35" s="41"/>
      <c r="E35" s="41"/>
      <c r="F35" s="50"/>
      <c r="G35" s="50"/>
      <c r="H35" s="50"/>
      <c r="I35" s="207">
        <f>IF(I33&lt;&gt;"","",IF(OR(ISBLANK(H33),ISBLANK(H34)),"","joueur 3/4 SAISIR les REPRISES"))</f>
      </c>
      <c r="J35" s="41"/>
      <c r="K35" s="47"/>
      <c r="L35" s="34"/>
      <c r="M35" s="116"/>
      <c r="N35" s="116"/>
      <c r="O35" s="142"/>
      <c r="P35" s="144" t="str">
        <f>Inscriptions!$D$7&amp;" "&amp;Inscriptions!$F$7</f>
        <v> </v>
      </c>
      <c r="Q35" s="143"/>
      <c r="R35" s="142"/>
      <c r="S35" s="144" t="str">
        <f>Inscriptions!$D$17&amp;" "&amp;Inscriptions!$F$17</f>
        <v> </v>
      </c>
      <c r="T35" s="143"/>
      <c r="U35" s="24"/>
      <c r="V35" s="24"/>
      <c r="W35" s="24"/>
      <c r="X35" s="24"/>
      <c r="Y35" s="24"/>
      <c r="Z35" s="24"/>
    </row>
    <row r="36" spans="1:32" ht="11.25" customHeight="1" thickBot="1">
      <c r="A36" s="34"/>
      <c r="B36" s="34"/>
      <c r="C36" s="37"/>
      <c r="D36" s="34"/>
      <c r="E36" s="34"/>
      <c r="F36" s="37"/>
      <c r="G36" s="37"/>
      <c r="H36" s="37"/>
      <c r="I36" s="240"/>
      <c r="J36" s="34"/>
      <c r="K36" s="34"/>
      <c r="L36" s="125"/>
      <c r="O36" s="61">
        <v>1</v>
      </c>
      <c r="P36" s="62">
        <v>2</v>
      </c>
      <c r="Q36" s="145">
        <v>3</v>
      </c>
      <c r="R36" s="62">
        <v>4</v>
      </c>
      <c r="S36" s="62">
        <v>5</v>
      </c>
      <c r="T36" s="150">
        <v>6</v>
      </c>
      <c r="U36" s="54"/>
      <c r="V36" s="126" t="s">
        <v>34</v>
      </c>
      <c r="W36" s="54"/>
      <c r="X36" s="54"/>
      <c r="Y36" s="54"/>
      <c r="Z36" s="55"/>
      <c r="AB36" s="196">
        <f>SUM(AB27:AB33)</f>
        <v>0</v>
      </c>
      <c r="AC36" s="197">
        <f>SUM(AC27:AC34)</f>
        <v>0</v>
      </c>
      <c r="AE36" s="192"/>
      <c r="AF36" s="192"/>
    </row>
    <row r="37" spans="1:27" ht="12" customHeight="1">
      <c r="A37" s="34"/>
      <c r="B37" s="407" t="s">
        <v>32</v>
      </c>
      <c r="C37" s="408"/>
      <c r="D37" s="408"/>
      <c r="E37" s="408"/>
      <c r="F37" s="408"/>
      <c r="G37" s="408"/>
      <c r="H37" s="408"/>
      <c r="I37" s="408"/>
      <c r="J37" s="409"/>
      <c r="K37" s="34"/>
      <c r="L37" s="125"/>
      <c r="M37" s="34"/>
      <c r="O37" s="127">
        <f>Inscriptions!F10</f>
        <v>0</v>
      </c>
      <c r="P37" s="128">
        <f>Inscriptions!F11</f>
        <v>0</v>
      </c>
      <c r="Q37" s="146">
        <f>Inscriptions!F12</f>
        <v>0</v>
      </c>
      <c r="R37" s="128">
        <f>Inscriptions!F20</f>
        <v>0</v>
      </c>
      <c r="S37" s="128">
        <f>Inscriptions!F21</f>
        <v>0</v>
      </c>
      <c r="T37" s="151">
        <f>Inscriptions!F22</f>
        <v>0</v>
      </c>
      <c r="U37" s="56"/>
      <c r="V37" s="40" t="s">
        <v>20</v>
      </c>
      <c r="W37" s="40"/>
      <c r="X37" s="40"/>
      <c r="Y37" s="40"/>
      <c r="Z37" s="57"/>
      <c r="AA37" s="53"/>
    </row>
    <row r="38" spans="1:32" ht="12" customHeight="1">
      <c r="A38" s="34"/>
      <c r="D38" s="1"/>
      <c r="O38" s="129">
        <f>3*Inscriptions!G10</f>
        <v>0</v>
      </c>
      <c r="P38" s="130">
        <f>3*Inscriptions!G11</f>
        <v>0</v>
      </c>
      <c r="Q38" s="147">
        <f>3*Inscriptions!G12</f>
        <v>0</v>
      </c>
      <c r="R38" s="130">
        <f>3*Inscriptions!G20</f>
        <v>0</v>
      </c>
      <c r="S38" s="130">
        <f>3*Inscriptions!G21</f>
        <v>0</v>
      </c>
      <c r="T38" s="152">
        <f>3*Inscriptions!G22</f>
        <v>0</v>
      </c>
      <c r="U38" s="6"/>
      <c r="V38" s="40" t="s">
        <v>17</v>
      </c>
      <c r="W38" s="40"/>
      <c r="X38" s="40"/>
      <c r="Y38" s="40"/>
      <c r="Z38" s="57"/>
      <c r="AA38" s="53"/>
      <c r="AB38" s="193">
        <f>AB14+AB25+AB36</f>
        <v>0</v>
      </c>
      <c r="AC38" s="193">
        <f>AC14+AC25+AC36</f>
        <v>0</v>
      </c>
      <c r="AE38" s="193">
        <f>SUM(AE5:AE36)</f>
        <v>0</v>
      </c>
      <c r="AF38" s="193">
        <f>SUM(AF5:AF36)</f>
        <v>0</v>
      </c>
    </row>
    <row r="39" spans="1:27" ht="12.75" customHeight="1">
      <c r="A39" s="34"/>
      <c r="B39" s="410" t="s">
        <v>108</v>
      </c>
      <c r="C39" s="410"/>
      <c r="D39" s="410"/>
      <c r="E39" s="410"/>
      <c r="F39" s="410"/>
      <c r="G39" s="410"/>
      <c r="H39" s="410"/>
      <c r="I39" s="410"/>
      <c r="J39" s="410"/>
      <c r="O39" s="129">
        <f aca="true" t="shared" si="0" ref="O39:T39">SUM(O5:O34)</f>
        <v>0</v>
      </c>
      <c r="P39" s="130">
        <f t="shared" si="0"/>
        <v>0</v>
      </c>
      <c r="Q39" s="147">
        <f t="shared" si="0"/>
        <v>0</v>
      </c>
      <c r="R39" s="130">
        <f t="shared" si="0"/>
        <v>0</v>
      </c>
      <c r="S39" s="130">
        <f t="shared" si="0"/>
        <v>0</v>
      </c>
      <c r="T39" s="152">
        <f t="shared" si="0"/>
        <v>0</v>
      </c>
      <c r="U39" s="6"/>
      <c r="V39" s="40" t="s">
        <v>18</v>
      </c>
      <c r="W39" s="40"/>
      <c r="X39" s="40"/>
      <c r="Y39" s="40"/>
      <c r="Z39" s="57"/>
      <c r="AA39" s="53"/>
    </row>
    <row r="40" spans="1:27" ht="12.75" customHeight="1">
      <c r="A40" s="34"/>
      <c r="B40" s="411" t="s">
        <v>105</v>
      </c>
      <c r="C40" s="411"/>
      <c r="D40" s="411"/>
      <c r="E40" s="411"/>
      <c r="F40" s="411"/>
      <c r="G40" s="411"/>
      <c r="H40" s="411"/>
      <c r="I40" s="411"/>
      <c r="J40" s="411"/>
      <c r="O40" s="131">
        <f aca="true" t="shared" si="1" ref="O40:T40">SUM(U5:U34)</f>
        <v>0</v>
      </c>
      <c r="P40" s="132">
        <f t="shared" si="1"/>
        <v>0</v>
      </c>
      <c r="Q40" s="148">
        <f t="shared" si="1"/>
        <v>0</v>
      </c>
      <c r="R40" s="132">
        <f t="shared" si="1"/>
        <v>0</v>
      </c>
      <c r="S40" s="132">
        <f t="shared" si="1"/>
        <v>0</v>
      </c>
      <c r="T40" s="153">
        <f t="shared" si="1"/>
        <v>0</v>
      </c>
      <c r="U40" s="6"/>
      <c r="V40" s="40" t="s">
        <v>16</v>
      </c>
      <c r="W40" s="40"/>
      <c r="X40" s="40"/>
      <c r="Y40" s="40"/>
      <c r="Z40" s="57"/>
      <c r="AA40" s="53"/>
    </row>
    <row r="41" spans="1:27" ht="12.75">
      <c r="A41" s="34"/>
      <c r="B41" s="98"/>
      <c r="D41" s="100"/>
      <c r="E41" s="99"/>
      <c r="H41" s="100"/>
      <c r="I41" s="406"/>
      <c r="J41" s="406"/>
      <c r="O41" s="127" t="str">
        <f aca="true" t="shared" si="2" ref="O41:T41">IF(O40=0," ",O39/O40)</f>
        <v> </v>
      </c>
      <c r="P41" s="128" t="str">
        <f t="shared" si="2"/>
        <v> </v>
      </c>
      <c r="Q41" s="146" t="str">
        <f t="shared" si="2"/>
        <v> </v>
      </c>
      <c r="R41" s="128" t="str">
        <f t="shared" si="2"/>
        <v> </v>
      </c>
      <c r="S41" s="128" t="str">
        <f t="shared" si="2"/>
        <v> </v>
      </c>
      <c r="T41" s="151" t="str">
        <f t="shared" si="2"/>
        <v> </v>
      </c>
      <c r="U41" s="6"/>
      <c r="V41" s="40" t="s">
        <v>112</v>
      </c>
      <c r="W41" s="40"/>
      <c r="X41" s="40"/>
      <c r="Y41" s="40"/>
      <c r="Z41" s="57"/>
      <c r="AA41" s="53"/>
    </row>
    <row r="42" spans="1:28" ht="12" customHeight="1">
      <c r="A42" s="34"/>
      <c r="B42" s="98"/>
      <c r="D42" s="101"/>
      <c r="E42" s="99"/>
      <c r="H42" s="100"/>
      <c r="I42" s="406"/>
      <c r="J42" s="406"/>
      <c r="O42" s="133" t="e">
        <f aca="true" t="shared" si="3" ref="O42:T42">(100*O39)/O38</f>
        <v>#DIV/0!</v>
      </c>
      <c r="P42" s="134" t="e">
        <f t="shared" si="3"/>
        <v>#DIV/0!</v>
      </c>
      <c r="Q42" s="149" t="e">
        <f t="shared" si="3"/>
        <v>#DIV/0!</v>
      </c>
      <c r="R42" s="134" t="e">
        <f t="shared" si="3"/>
        <v>#DIV/0!</v>
      </c>
      <c r="S42" s="134" t="e">
        <f t="shared" si="3"/>
        <v>#DIV/0!</v>
      </c>
      <c r="T42" s="154" t="e">
        <f t="shared" si="3"/>
        <v>#DIV/0!</v>
      </c>
      <c r="U42" s="6"/>
      <c r="V42" s="40" t="s">
        <v>19</v>
      </c>
      <c r="W42" s="40"/>
      <c r="X42" s="40"/>
      <c r="Y42" s="40"/>
      <c r="Z42" s="57"/>
      <c r="AA42" s="53"/>
      <c r="AB42">
        <f>COUNTA(AB5:AB33)</f>
        <v>11</v>
      </c>
    </row>
    <row r="43" spans="1:27" ht="14.25" customHeight="1">
      <c r="A43" s="34"/>
      <c r="B43" s="98"/>
      <c r="D43" s="100"/>
      <c r="E43" s="99"/>
      <c r="H43" s="100"/>
      <c r="I43" s="406"/>
      <c r="J43" s="406"/>
      <c r="L43" s="278"/>
      <c r="N43" s="81">
        <v>50</v>
      </c>
      <c r="O43" s="129">
        <f aca="true" t="shared" si="4" ref="O43:T43">IF(O40=0,0,IF(O41&gt;O37,(O41-O37)/O37*$N$43*O42/100,0))</f>
        <v>0</v>
      </c>
      <c r="P43" s="130">
        <f t="shared" si="4"/>
        <v>0</v>
      </c>
      <c r="Q43" s="130">
        <f t="shared" si="4"/>
        <v>0</v>
      </c>
      <c r="R43" s="280">
        <f t="shared" si="4"/>
        <v>0</v>
      </c>
      <c r="S43" s="130">
        <f t="shared" si="4"/>
        <v>0</v>
      </c>
      <c r="T43" s="152">
        <f t="shared" si="4"/>
        <v>0</v>
      </c>
      <c r="U43" s="6"/>
      <c r="V43" s="40" t="s">
        <v>36</v>
      </c>
      <c r="W43" s="40"/>
      <c r="X43" s="40"/>
      <c r="Y43" s="40"/>
      <c r="Z43" s="57"/>
      <c r="AA43" s="53"/>
    </row>
    <row r="44" spans="1:27" ht="14.25" customHeight="1">
      <c r="A44" s="34"/>
      <c r="B44" s="98"/>
      <c r="D44" s="100"/>
      <c r="E44" s="99"/>
      <c r="H44" s="100"/>
      <c r="I44" s="113"/>
      <c r="J44" s="113"/>
      <c r="O44" s="129"/>
      <c r="P44" s="282">
        <f>SUM(M5:M34)</f>
        <v>0</v>
      </c>
      <c r="Q44" s="130"/>
      <c r="R44" s="281"/>
      <c r="S44" s="279">
        <f>SUM(N5:N34)</f>
        <v>0</v>
      </c>
      <c r="T44" s="155"/>
      <c r="U44" s="58"/>
      <c r="V44" s="52" t="s">
        <v>35</v>
      </c>
      <c r="W44" s="52"/>
      <c r="X44" s="52"/>
      <c r="Y44" s="52"/>
      <c r="Z44" s="59"/>
      <c r="AA44" s="53"/>
    </row>
    <row r="45" spans="1:26" s="137" customFormat="1" ht="12.75">
      <c r="A45" s="135"/>
      <c r="B45" s="98"/>
      <c r="C45" s="1"/>
      <c r="D45" s="101"/>
      <c r="E45" s="136"/>
      <c r="F45" s="1"/>
      <c r="G45" s="1"/>
      <c r="H45" s="100"/>
      <c r="N45" s="135"/>
      <c r="O45" s="283"/>
      <c r="P45" s="114" t="str">
        <f>Inscriptions!D7&amp;" "&amp;Inscriptions!F7</f>
        <v> </v>
      </c>
      <c r="Q45" s="115"/>
      <c r="R45" s="138"/>
      <c r="S45" s="114">
        <f>Inscriptions!D17&amp;Inscriptions!F17</f>
      </c>
      <c r="T45" s="115"/>
      <c r="U45" s="139"/>
      <c r="V45" s="138"/>
      <c r="W45" s="140" t="s">
        <v>23</v>
      </c>
      <c r="X45" s="140"/>
      <c r="Y45" s="140"/>
      <c r="Z45" s="141"/>
    </row>
    <row r="46" spans="1:26" ht="12.75">
      <c r="A46" s="34"/>
      <c r="B46" s="98"/>
      <c r="D46" s="100"/>
      <c r="E46" s="99"/>
      <c r="H46" s="100"/>
      <c r="N46" s="51"/>
      <c r="O46" s="405" t="e">
        <f>O42+P42+Q42+O43+P43+Q43+P44</f>
        <v>#DIV/0!</v>
      </c>
      <c r="P46" s="403"/>
      <c r="Q46" s="404"/>
      <c r="R46" s="403" t="e">
        <f>R42+S42+T42+R43+S43+T43+S44</f>
        <v>#DIV/0!</v>
      </c>
      <c r="S46" s="403"/>
      <c r="T46" s="404"/>
      <c r="U46" s="60"/>
      <c r="V46" s="111"/>
      <c r="W46" s="111"/>
      <c r="X46" s="111"/>
      <c r="Y46" s="111"/>
      <c r="Z46" s="112"/>
    </row>
    <row r="47" spans="1:13" ht="16.5" customHeight="1">
      <c r="A47" s="1"/>
      <c r="B47" s="1"/>
      <c r="D47" s="1"/>
      <c r="E47" s="1"/>
      <c r="I47" s="1"/>
      <c r="J47" s="1"/>
      <c r="K47" s="1"/>
      <c r="L47" s="34"/>
      <c r="M47" s="34"/>
    </row>
    <row r="48" spans="1:13" ht="12.75">
      <c r="A48" s="1"/>
      <c r="B48" s="1"/>
      <c r="D48" s="1"/>
      <c r="E48" s="1"/>
      <c r="I48" s="1"/>
      <c r="J48" s="1"/>
      <c r="K48" s="1"/>
      <c r="L48" s="34"/>
      <c r="M48" s="34"/>
    </row>
    <row r="49" spans="1:13" ht="12.75">
      <c r="A49" s="1"/>
      <c r="B49" s="1"/>
      <c r="D49" s="1"/>
      <c r="E49" s="1"/>
      <c r="I49" s="1"/>
      <c r="J49" s="1"/>
      <c r="K49" s="1"/>
      <c r="L49" s="34"/>
      <c r="M49" s="34"/>
    </row>
    <row r="50" spans="1:13" ht="12.75">
      <c r="A50" s="1"/>
      <c r="B50" s="1"/>
      <c r="D50" s="1"/>
      <c r="E50" s="1"/>
      <c r="I50" s="1"/>
      <c r="J50" s="1"/>
      <c r="K50" s="1"/>
      <c r="L50" s="34"/>
      <c r="M50" s="34"/>
    </row>
    <row r="51" spans="1:13" ht="12.75">
      <c r="A51" s="1"/>
      <c r="B51" s="1"/>
      <c r="D51" s="1"/>
      <c r="E51" s="1"/>
      <c r="I51" s="1"/>
      <c r="J51" s="1"/>
      <c r="K51" s="1"/>
      <c r="L51" s="34"/>
      <c r="M51" s="34"/>
    </row>
    <row r="52" spans="1:13" ht="12.75">
      <c r="A52" s="1"/>
      <c r="B52" s="1"/>
      <c r="D52" s="1"/>
      <c r="E52" s="1"/>
      <c r="I52" s="1"/>
      <c r="J52" s="1"/>
      <c r="K52" s="1"/>
      <c r="L52" s="34"/>
      <c r="M52" s="34"/>
    </row>
    <row r="53" spans="1:13" ht="12.75">
      <c r="A53" s="1"/>
      <c r="B53" s="1"/>
      <c r="D53" s="1"/>
      <c r="E53" s="1"/>
      <c r="I53" s="1"/>
      <c r="J53" s="1"/>
      <c r="K53" s="1"/>
      <c r="L53" s="34"/>
      <c r="M53" s="34"/>
    </row>
    <row r="54" spans="1:13" ht="12.75">
      <c r="A54" s="1"/>
      <c r="B54" s="1"/>
      <c r="D54" s="1"/>
      <c r="E54" s="1"/>
      <c r="I54" s="1"/>
      <c r="J54" s="1"/>
      <c r="K54" s="1"/>
      <c r="L54" s="34"/>
      <c r="M54" s="34"/>
    </row>
    <row r="55" spans="1:13" ht="27.75" customHeight="1">
      <c r="A55" s="1"/>
      <c r="B55" s="1"/>
      <c r="D55" s="1"/>
      <c r="E55" s="1"/>
      <c r="I55" s="1"/>
      <c r="J55" s="1"/>
      <c r="K55" s="1"/>
      <c r="L55" s="34"/>
      <c r="M55" s="34"/>
    </row>
    <row r="56" spans="1:13" ht="12.75">
      <c r="A56" s="1"/>
      <c r="B56" s="1"/>
      <c r="D56" s="1"/>
      <c r="E56" s="1"/>
      <c r="I56" s="1"/>
      <c r="J56" s="1"/>
      <c r="K56" s="1"/>
      <c r="L56" s="34"/>
      <c r="M56" s="34"/>
    </row>
    <row r="57" spans="1:13" ht="12.75">
      <c r="A57" s="1"/>
      <c r="B57" s="1"/>
      <c r="D57" s="1"/>
      <c r="E57" s="1"/>
      <c r="I57" s="1"/>
      <c r="J57" s="1"/>
      <c r="K57" s="1"/>
      <c r="L57" s="34"/>
      <c r="M57" s="34"/>
    </row>
    <row r="58" spans="1:13" ht="12.75">
      <c r="A58" s="1"/>
      <c r="B58" s="1"/>
      <c r="D58" s="1"/>
      <c r="E58" s="1"/>
      <c r="I58" s="1"/>
      <c r="J58" s="1"/>
      <c r="K58" s="1"/>
      <c r="L58" s="34"/>
      <c r="M58" s="34"/>
    </row>
    <row r="59" spans="1:13" ht="23.25" customHeight="1">
      <c r="A59" s="1"/>
      <c r="B59" s="1"/>
      <c r="D59" s="1"/>
      <c r="E59" s="1"/>
      <c r="I59" s="1"/>
      <c r="J59" s="1"/>
      <c r="K59" s="1"/>
      <c r="L59" s="34"/>
      <c r="M59" s="34"/>
    </row>
    <row r="60" spans="1:13" ht="12.75">
      <c r="A60" s="34"/>
      <c r="B60" s="34"/>
      <c r="C60" s="37"/>
      <c r="D60" s="34"/>
      <c r="E60" s="34"/>
      <c r="F60" s="37"/>
      <c r="G60" s="37"/>
      <c r="H60" s="37"/>
      <c r="I60" s="34"/>
      <c r="J60" s="34"/>
      <c r="K60" s="34"/>
      <c r="L60" s="34"/>
      <c r="M60" s="34"/>
    </row>
    <row r="61" spans="1:13" ht="12.75">
      <c r="A61" s="34"/>
      <c r="B61" s="34"/>
      <c r="C61" s="37"/>
      <c r="D61" s="34"/>
      <c r="E61" s="34"/>
      <c r="F61" s="37"/>
      <c r="G61" s="37"/>
      <c r="H61" s="37"/>
      <c r="I61" s="34"/>
      <c r="J61" s="34"/>
      <c r="K61" s="34"/>
      <c r="L61" s="34"/>
      <c r="M61" s="34"/>
    </row>
    <row r="62" spans="1:13" ht="12.75">
      <c r="A62" s="34"/>
      <c r="B62" s="34"/>
      <c r="C62" s="37"/>
      <c r="D62" s="34"/>
      <c r="E62" s="34"/>
      <c r="F62" s="37"/>
      <c r="G62" s="37"/>
      <c r="H62" s="37"/>
      <c r="I62" s="34"/>
      <c r="J62" s="34"/>
      <c r="K62" s="34"/>
      <c r="L62" s="34"/>
      <c r="M62" s="34"/>
    </row>
    <row r="63" spans="1:13" ht="12.75">
      <c r="A63" s="34"/>
      <c r="B63" s="34"/>
      <c r="C63" s="37"/>
      <c r="D63" s="34"/>
      <c r="E63" s="34"/>
      <c r="F63" s="37"/>
      <c r="G63" s="37"/>
      <c r="H63" s="37"/>
      <c r="I63" s="34"/>
      <c r="J63" s="34"/>
      <c r="K63" s="34"/>
      <c r="L63" s="34"/>
      <c r="M63" s="34"/>
    </row>
    <row r="64" spans="1:13" ht="12.75">
      <c r="A64" s="34"/>
      <c r="B64" s="34"/>
      <c r="C64" s="37"/>
      <c r="D64" s="34"/>
      <c r="E64" s="34"/>
      <c r="F64" s="37"/>
      <c r="G64" s="37"/>
      <c r="H64" s="37"/>
      <c r="I64" s="34"/>
      <c r="J64" s="34"/>
      <c r="K64" s="34"/>
      <c r="L64" s="34"/>
      <c r="M64" s="34"/>
    </row>
    <row r="65" spans="1:13" ht="12.75">
      <c r="A65" s="34"/>
      <c r="B65" s="34"/>
      <c r="C65" s="37"/>
      <c r="D65" s="34"/>
      <c r="E65" s="34"/>
      <c r="F65" s="37"/>
      <c r="G65" s="37"/>
      <c r="H65" s="37"/>
      <c r="I65" s="34"/>
      <c r="J65" s="34"/>
      <c r="K65" s="34"/>
      <c r="L65" s="34"/>
      <c r="M65" s="34"/>
    </row>
    <row r="66" spans="1:13" ht="12.75">
      <c r="A66" s="34"/>
      <c r="B66" s="34"/>
      <c r="C66" s="37"/>
      <c r="D66" s="34"/>
      <c r="E66" s="34"/>
      <c r="F66" s="37"/>
      <c r="G66" s="37"/>
      <c r="H66" s="37"/>
      <c r="I66" s="34"/>
      <c r="J66" s="34"/>
      <c r="K66" s="34"/>
      <c r="L66" s="34"/>
      <c r="M66" s="34"/>
    </row>
    <row r="67" spans="1:13" ht="12.75">
      <c r="A67" s="34"/>
      <c r="B67" s="34"/>
      <c r="C67" s="37"/>
      <c r="D67" s="34"/>
      <c r="E67" s="34"/>
      <c r="F67" s="37"/>
      <c r="G67" s="37"/>
      <c r="H67" s="37"/>
      <c r="I67" s="34"/>
      <c r="J67" s="34"/>
      <c r="K67" s="34"/>
      <c r="L67" s="34"/>
      <c r="M67" s="34"/>
    </row>
    <row r="74" spans="6:7" ht="12.75">
      <c r="F74" s="211"/>
      <c r="G74" s="211"/>
    </row>
  </sheetData>
  <sheetProtection password="EF51" sheet="1" objects="1" scenarios="1" formatRows="0" insertColumns="0" selectLockedCells="1" pivotTables="0"/>
  <mergeCells count="34">
    <mergeCell ref="B3:E3"/>
    <mergeCell ref="AE3:AF3"/>
    <mergeCell ref="AB3:AC3"/>
    <mergeCell ref="I27:I28"/>
    <mergeCell ref="I5:I6"/>
    <mergeCell ref="I8:I9"/>
    <mergeCell ref="I11:I12"/>
    <mergeCell ref="I16:I17"/>
    <mergeCell ref="R46:T46"/>
    <mergeCell ref="O46:Q46"/>
    <mergeCell ref="I30:I31"/>
    <mergeCell ref="I33:I34"/>
    <mergeCell ref="I41:J41"/>
    <mergeCell ref="I42:J42"/>
    <mergeCell ref="I43:J43"/>
    <mergeCell ref="B37:J37"/>
    <mergeCell ref="B39:J39"/>
    <mergeCell ref="B40:J40"/>
    <mergeCell ref="U2:Z2"/>
    <mergeCell ref="B27:B28"/>
    <mergeCell ref="B30:B31"/>
    <mergeCell ref="B33:B34"/>
    <mergeCell ref="B8:B9"/>
    <mergeCell ref="B11:B12"/>
    <mergeCell ref="B16:B17"/>
    <mergeCell ref="O2:T2"/>
    <mergeCell ref="I19:I20"/>
    <mergeCell ref="I22:I23"/>
    <mergeCell ref="A5:A12"/>
    <mergeCell ref="A16:A23"/>
    <mergeCell ref="A27:A34"/>
    <mergeCell ref="B5:B6"/>
    <mergeCell ref="B19:B20"/>
    <mergeCell ref="B22:B23"/>
  </mergeCells>
  <conditionalFormatting sqref="B3:E3">
    <cfRule type="cellIs" priority="1" dxfId="1" operator="equal" stopIfTrue="1">
      <formula>"Saisir la date de la rencontre dans la fiche inscriptions"</formula>
    </cfRule>
  </conditionalFormatting>
  <dataValidations count="19">
    <dataValidation type="whole" allowBlank="1" showInputMessage="1" showErrorMessage="1" promptTitle="Nombre de reprises" prompt="saisir le nombre de reprises de ce match" errorTitle="ERREUR" error="Saisir un nombre entier inférieur à 100" sqref="I5:I6 I8:I9 I11:I12 I16:I17 I19:I20 I22:I23 I27:I28 I30:I31 I33:I34">
      <formula1>1</formula1>
      <formula2>99</formula2>
    </dataValidation>
    <dataValidation type="custom" allowBlank="1" showInputMessage="1" showErrorMessage="1" promptTitle="TOUR 1 Joueur 1" prompt="Saisir le score du joueur 1" errorTitle="ERREUR" error="Le nombre de points saisi dépasse la distance du joueur" sqref="H5">
      <formula1>IF(F6="",H5=0,H5&lt;(F5+1))</formula1>
    </dataValidation>
    <dataValidation type="custom" allowBlank="1" showInputMessage="1" showErrorMessage="1" promptTitle="TOUR 1 Joueur 4" prompt="Saisir le score du joueur 4&#10;" errorTitle="ERREUR" error="Le nombre de points saisi dépasse la distance du joueur" sqref="H6">
      <formula1>IF(F5="",H6=0,H6&lt;(F6+1))</formula1>
    </dataValidation>
    <dataValidation type="custom" allowBlank="1" showInputMessage="1" showErrorMessage="1" promptTitle="TOUR 1 Joueur2" prompt="Saisir le score du joueur 2" errorTitle="ERREUR" error="Le nombre de points saisi dépasse la distance du joueur" sqref="H8">
      <formula1>IF(F9="",H8=0,H8&lt;(F8+1))</formula1>
    </dataValidation>
    <dataValidation type="custom" allowBlank="1" showInputMessage="1" showErrorMessage="1" promptTitle="TOUR 1 Joueur5" prompt="Saisir le score du joueur 5" errorTitle="ERREUR" error="Le nombre de points saisi dépasse la distance du joueur" sqref="H9">
      <formula1>IF(F8="",H9=0,H9&lt;(F9+1))</formula1>
    </dataValidation>
    <dataValidation type="custom" allowBlank="1" showInputMessage="1" showErrorMessage="1" promptTitle="TOUR 1 Joueur 3" prompt="Saisir le score du joueur 1" errorTitle="ERREUR" error="Le nombre de points saisi dépasse la distance du joueur" sqref="H11">
      <formula1>IF(F12="",H11=0,H11&lt;(F11+1))</formula1>
    </dataValidation>
    <dataValidation type="custom" allowBlank="1" showInputMessage="1" showErrorMessage="1" promptTitle="TOUR 1 Joueur 6" prompt="Saisir le score du joueur 1" errorTitle="ERREUR" error="Le nombre de points saisi dépasse la distance du joueur" sqref="H12">
      <formula1>IF(F11="",H12=0,H12&lt;(F12+1))</formula1>
    </dataValidation>
    <dataValidation type="custom" allowBlank="1" showInputMessage="1" showErrorMessage="1" promptTitle="TOUR 2 Joueur 1" prompt="Saisir le score du joueur 1" errorTitle="ERREUR" error="Le nombre de points saisi dépasse la distance du joueur" sqref="H16">
      <formula1>IF(F17="",H16=0,H16&lt;(F16+1))</formula1>
    </dataValidation>
    <dataValidation type="custom" allowBlank="1" showInputMessage="1" showErrorMessage="1" promptTitle="TOUR 2 Joueur 6" prompt="Saisir le score du joueur 4&#10;" errorTitle="ERREUR" error="Le nombre de points saisi dépasse la distance du joueur" sqref="H17">
      <formula1>IF(F16="",H17=0,H17&lt;(F17+1))</formula1>
    </dataValidation>
    <dataValidation type="custom" allowBlank="1" showInputMessage="1" showErrorMessage="1" promptTitle="TOUR 2 Joueur 2" prompt="Saisir le score du joueur 2" errorTitle="ERREUR" error="Le nombre de points saisi dépasse la distance du joueur" sqref="H19">
      <formula1>IF(F20="",H19=0,H19&lt;(F19+1))</formula1>
    </dataValidation>
    <dataValidation type="custom" allowBlank="1" showInputMessage="1" showErrorMessage="1" promptTitle="TOUR 2 Joueur 4" prompt="Saisir le score du joueur 5" errorTitle="ERREUR" error="Le nombre de points saisi dépasse la distance du joueur" sqref="H20">
      <formula1>IF(F19="",H20=0,H20&lt;(F20+1))</formula1>
    </dataValidation>
    <dataValidation type="custom" allowBlank="1" showInputMessage="1" showErrorMessage="1" promptTitle="TOUR 2 Joueur 3" prompt="Saisir le score du joueur 1" errorTitle="ERREUR" error="Le nombre de points saisi dépasse la distance du joueur" sqref="H22">
      <formula1>IF(F23="",H22=0,H22&lt;(F22+1))</formula1>
    </dataValidation>
    <dataValidation type="custom" allowBlank="1" showInputMessage="1" showErrorMessage="1" promptTitle="TOUR 2 Joueur 5" prompt="Saisir le score du joueur 1" errorTitle="ERREUR" error="Le nombre de points saisi dépasse la distance du joueur" sqref="H23">
      <formula1>IF(F22="",H23=0,H23&lt;(F23+1))</formula1>
    </dataValidation>
    <dataValidation type="custom" allowBlank="1" showInputMessage="1" showErrorMessage="1" promptTitle="TOUR 3 Joueur 1" prompt="Saisir le score du joueur 1" errorTitle="ERREUR" error="Le nombre de points saisi dépasse la distance du joueur" sqref="H27">
      <formula1>IF(F28="",H27=0,H27&lt;(F27+1))</formula1>
    </dataValidation>
    <dataValidation type="custom" allowBlank="1" showInputMessage="1" showErrorMessage="1" promptTitle="TOUR 3 Joueur 5" prompt="Saisir le score du joueur 4&#10;" errorTitle="ERREUR" error="Le nombre de points saisi dépasse la distance du joueur" sqref="H28">
      <formula1>IF(F27="",H28=0,H28&lt;(F28+1))</formula1>
    </dataValidation>
    <dataValidation type="custom" allowBlank="1" showInputMessage="1" showErrorMessage="1" promptTitle="TOUR 3 Joueur 2" prompt="Saisir le score du joueur 2" errorTitle="ERREUR" error="Le nombre de points saisi dépasse la distance du joueur" sqref="H30">
      <formula1>IF(F31="",H30=0,H30&lt;(F30+1))</formula1>
    </dataValidation>
    <dataValidation type="custom" allowBlank="1" showInputMessage="1" showErrorMessage="1" promptTitle="TOUR 3 Joueur 6" prompt="Saisir le score du joueur 5" errorTitle="ERREUR" error="Le nombre de points saisi dépasse la distance du joueur" sqref="H31">
      <formula1>IF(F30="",H31=0,H31&lt;(F31+1))</formula1>
    </dataValidation>
    <dataValidation type="custom" allowBlank="1" showInputMessage="1" showErrorMessage="1" promptTitle="TOUR 3 Joueur 3" prompt="Saisir le score du joueur 1" errorTitle="ERREUR" error="Le nombre de points saisi dépasse la distance du joueur" sqref="H33">
      <formula1>IF(F34="",H33=0,H33&lt;(F33+1))</formula1>
    </dataValidation>
    <dataValidation type="custom" allowBlank="1" showInputMessage="1" showErrorMessage="1" promptTitle="TOUR 3 Joueur 4" prompt="Saisir le score du joueur 1" errorTitle="ERREUR" error="Le nombre de points saisi dépasse la distance du joueur" sqref="H34">
      <formula1>IF(F33="",H34=0,H34&lt;(F34+1))</formula1>
    </dataValidation>
  </dataValidations>
  <printOptions horizontalCentered="1" verticalCentered="1"/>
  <pageMargins left="0.35433070866141736" right="0.35433070866141736" top="0.31" bottom="0.33" header="0.23" footer="0.23"/>
  <pageSetup horizontalDpi="300" verticalDpi="300" orientation="landscape" paperSize="9" scale="11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W66"/>
  <sheetViews>
    <sheetView showGridLines="0" showRowColHeaders="0" zoomScale="75" zoomScaleNormal="75" workbookViewId="0" topLeftCell="A1">
      <selection activeCell="C15" sqref="C15:I16"/>
    </sheetView>
  </sheetViews>
  <sheetFormatPr defaultColWidth="11.421875" defaultRowHeight="12.75"/>
  <cols>
    <col min="1" max="1" width="0.85546875" style="0" customWidth="1"/>
    <col min="2" max="2" width="0.71875" style="0" customWidth="1"/>
    <col min="3" max="3" width="10.28125" style="0" customWidth="1"/>
    <col min="4" max="4" width="19.57421875" style="0" customWidth="1"/>
    <col min="5" max="5" width="17.140625" style="0" customWidth="1"/>
    <col min="6" max="6" width="5.28125" style="0" customWidth="1"/>
    <col min="7" max="7" width="10.28125" style="137" customWidth="1"/>
    <col min="8" max="8" width="10.28125" style="0" customWidth="1"/>
    <col min="9" max="9" width="9.8515625" style="0" customWidth="1"/>
    <col min="10" max="10" width="9.57421875" style="0" customWidth="1"/>
    <col min="11" max="12" width="10.00390625" style="0" customWidth="1"/>
    <col min="13" max="13" width="1.8515625" style="0" customWidth="1"/>
    <col min="14" max="14" width="11.421875" style="97" hidden="1" customWidth="1"/>
    <col min="15" max="15" width="37.140625" style="0" customWidth="1"/>
    <col min="16" max="16" width="9.8515625" style="0" customWidth="1"/>
  </cols>
  <sheetData>
    <row r="1" spans="1:16" ht="26.25" customHeight="1">
      <c r="A1" s="34"/>
      <c r="B1" s="34"/>
      <c r="C1" s="34"/>
      <c r="E1" s="424" t="str">
        <f>"TOURNOI DES ANCIENS"</f>
        <v>TOURNOI DES ANCIENS</v>
      </c>
      <c r="F1" s="424"/>
      <c r="G1" s="424"/>
      <c r="H1" s="424"/>
      <c r="I1" s="424"/>
      <c r="J1" s="424"/>
      <c r="K1" s="424"/>
      <c r="L1" s="319" t="str">
        <f>Inscriptions!G3</f>
        <v>Version 2022.0</v>
      </c>
      <c r="N1" s="95"/>
      <c r="O1" s="34"/>
      <c r="P1" s="34"/>
    </row>
    <row r="2" spans="1:16" ht="24.75" customHeight="1">
      <c r="A2" s="34"/>
      <c r="B2" s="34"/>
      <c r="C2" s="34"/>
      <c r="D2" s="34"/>
      <c r="E2" s="64" t="s">
        <v>26</v>
      </c>
      <c r="F2" s="425" t="str">
        <f>IF(ISBLANK(Inscriptions!E5),"Date ?",Inscriptions!E5)</f>
        <v>Date ?</v>
      </c>
      <c r="G2" s="425"/>
      <c r="H2" s="425"/>
      <c r="I2" s="425"/>
      <c r="J2" s="268" t="str">
        <f>"à "&amp;Inscriptions!D7</f>
        <v>à </v>
      </c>
      <c r="K2" s="34"/>
      <c r="L2" s="341" t="str">
        <f>IF(ISBLANK(Inscriptions!E5),"Saisir la date dans l'onglet Inscription","")</f>
        <v>Saisir la date dans l'onglet Inscription</v>
      </c>
      <c r="M2" s="194"/>
      <c r="N2" s="95"/>
      <c r="P2" s="34"/>
    </row>
    <row r="3" spans="1:16" ht="13.5" thickBot="1">
      <c r="A3" s="34"/>
      <c r="B3" s="34"/>
      <c r="C3" s="34"/>
      <c r="D3" s="34"/>
      <c r="E3" s="34"/>
      <c r="F3" s="34"/>
      <c r="G3" s="135"/>
      <c r="H3" s="34"/>
      <c r="I3" s="34"/>
      <c r="J3" s="34"/>
      <c r="K3" s="34"/>
      <c r="L3" s="34"/>
      <c r="M3" s="194"/>
      <c r="N3" s="95"/>
      <c r="O3" s="34"/>
      <c r="P3" s="34"/>
    </row>
    <row r="4" spans="1:14" ht="16.5" customHeight="1">
      <c r="A4" s="34"/>
      <c r="B4" s="35"/>
      <c r="C4" s="39"/>
      <c r="D4" s="418" t="str">
        <f>IF(ISBLANK(Inscriptions!D7)," ",Inscriptions!D7)</f>
        <v> </v>
      </c>
      <c r="E4" s="418" t="str">
        <f>IF(ISBLANK(Inscriptions!F7)," ",Inscriptions!F7)</f>
        <v> </v>
      </c>
      <c r="F4" s="39"/>
      <c r="G4" s="422" t="s">
        <v>42</v>
      </c>
      <c r="H4" s="423"/>
      <c r="I4" s="185" t="s">
        <v>43</v>
      </c>
      <c r="J4" s="39"/>
      <c r="K4" s="39" t="s">
        <v>38</v>
      </c>
      <c r="L4" s="48"/>
      <c r="M4" s="6"/>
      <c r="N4" s="95"/>
    </row>
    <row r="5" spans="1:17" ht="24" customHeight="1">
      <c r="A5" s="34"/>
      <c r="B5" s="65"/>
      <c r="C5" s="72"/>
      <c r="D5" s="419"/>
      <c r="E5" s="419"/>
      <c r="F5" s="72"/>
      <c r="G5" s="183" t="s">
        <v>37</v>
      </c>
      <c r="H5" s="184" t="s">
        <v>10</v>
      </c>
      <c r="I5" s="186" t="s">
        <v>44</v>
      </c>
      <c r="J5" s="73" t="s">
        <v>39</v>
      </c>
      <c r="K5" s="73" t="s">
        <v>40</v>
      </c>
      <c r="L5" s="156" t="s">
        <v>41</v>
      </c>
      <c r="M5" s="243"/>
      <c r="N5" s="95"/>
      <c r="O5" s="300" t="s">
        <v>131</v>
      </c>
      <c r="P5" s="34"/>
      <c r="Q5" s="40"/>
    </row>
    <row r="6" spans="1:16" ht="12.75">
      <c r="A6" s="34"/>
      <c r="B6" s="65"/>
      <c r="C6" s="40"/>
      <c r="D6" s="40"/>
      <c r="E6" s="40"/>
      <c r="F6" s="40"/>
      <c r="G6" s="187"/>
      <c r="H6" s="188"/>
      <c r="I6" s="49"/>
      <c r="J6" s="157"/>
      <c r="K6" s="49"/>
      <c r="L6" s="46"/>
      <c r="M6" s="244"/>
      <c r="N6" s="95"/>
      <c r="P6" s="34">
        <f>IF('Feuille de match'!K15="ERREUR Manque des points","2","")</f>
      </c>
    </row>
    <row r="7" spans="1:16" ht="15.75">
      <c r="A7" s="34"/>
      <c r="B7" s="65"/>
      <c r="C7" s="68" t="str">
        <f>Inscriptions!C10</f>
        <v> joueur 1</v>
      </c>
      <c r="D7" s="69" t="str">
        <f>IF(ISBLANK(Inscriptions!D10)," ",Inscriptions!D10)</f>
        <v> </v>
      </c>
      <c r="E7" s="69" t="str">
        <f>IF(ISBLANK(Inscriptions!E10)," ",Inscriptions!E10)</f>
        <v> </v>
      </c>
      <c r="F7" s="339">
        <f>Inscriptions!H10</f>
      </c>
      <c r="G7" s="189" t="str">
        <f>IF('Suivi de rencontre'!O39=0," ",'Suivi de rencontre'!O39)</f>
        <v> </v>
      </c>
      <c r="H7" s="190" t="str">
        <f>IF('Suivi de rencontre'!O40=0," ",'Suivi de rencontre'!O40)</f>
        <v> </v>
      </c>
      <c r="I7" s="168" t="str">
        <f>IF(D7=" "," ",'Suivi de rencontre'!O41)</f>
        <v> </v>
      </c>
      <c r="J7" s="158">
        <f>IF(D7=" ",0,'Suivi de rencontre'!O42)</f>
        <v>0</v>
      </c>
      <c r="K7" s="71">
        <f>IF(D7=" ",0,'Suivi de rencontre'!O43)</f>
        <v>0</v>
      </c>
      <c r="L7" s="160">
        <f>'Suivi de rencontre'!$M$5+'Suivi de rencontre'!$M$16+'Suivi de rencontre'!$M$27</f>
        <v>0</v>
      </c>
      <c r="M7" s="245">
        <f>IF('Suivi de rencontre'!$AE$38&gt;1,"",IF('Suivi de rencontre'!$AB$36=1,"3 ème tour joueur "&amp;'Suivi de rencontre'!$AB$36,IF('Suivi de rencontre'!$AB$25=1,"2 ème tour joueur "&amp;'Suivi de rencontre'!$AB$25,IF('Suivi de rencontre'!$AB$14=1,"1er tour joueur "&amp;'Suivi de rencontre'!$AB$38,""))))</f>
      </c>
      <c r="N7" s="95"/>
      <c r="P7" s="34"/>
    </row>
    <row r="8" spans="1:16" ht="15.75">
      <c r="A8" s="34"/>
      <c r="B8" s="65"/>
      <c r="C8" s="68"/>
      <c r="D8" s="69"/>
      <c r="E8" s="69"/>
      <c r="F8" s="69"/>
      <c r="G8" s="189"/>
      <c r="H8" s="190"/>
      <c r="I8" s="167"/>
      <c r="J8" s="159"/>
      <c r="K8" s="71"/>
      <c r="L8" s="46"/>
      <c r="M8" s="246">
        <f>IF(ISERROR(K7),"manque MG "&amp;D7,"")</f>
      </c>
      <c r="N8" s="95"/>
      <c r="O8" s="296" t="s">
        <v>123</v>
      </c>
      <c r="P8" s="34"/>
    </row>
    <row r="9" spans="1:16" ht="15.75">
      <c r="A9" s="34"/>
      <c r="B9" s="65"/>
      <c r="C9" s="68" t="str">
        <f>Inscriptions!C11</f>
        <v>joueur 2</v>
      </c>
      <c r="D9" s="69" t="str">
        <f>IF(ISBLANK(Inscriptions!D11)," ",Inscriptions!D11)</f>
        <v> </v>
      </c>
      <c r="E9" s="69" t="str">
        <f>IF(ISBLANK(Inscriptions!E11)," ",Inscriptions!E11)</f>
        <v> </v>
      </c>
      <c r="F9" s="339">
        <f>Inscriptions!H11</f>
      </c>
      <c r="G9" s="189" t="str">
        <f>IF('Suivi de rencontre'!P39=0," ",'Suivi de rencontre'!P39)</f>
        <v> </v>
      </c>
      <c r="H9" s="190" t="str">
        <f>IF('Suivi de rencontre'!P40=0," ",'Suivi de rencontre'!P40)</f>
        <v> </v>
      </c>
      <c r="I9" s="168" t="str">
        <f>IF(D9=" "," ",'Suivi de rencontre'!P41)</f>
        <v> </v>
      </c>
      <c r="J9" s="158">
        <f>IF(D9=" ",0,'Suivi de rencontre'!P42)</f>
        <v>0</v>
      </c>
      <c r="K9" s="71">
        <f>IF(D9=" ",0,'Suivi de rencontre'!P43)</f>
        <v>0</v>
      </c>
      <c r="L9" s="160">
        <f>'Suivi de rencontre'!$M$8+'Suivi de rencontre'!$M$19+'Suivi de rencontre'!$M$30</f>
        <v>0</v>
      </c>
      <c r="M9" s="245">
        <f>IF('Suivi de rencontre'!$AE$38&gt;1,"",IF('Suivi de rencontre'!$AB$36=2,"3 ème tour joueur "&amp;'Suivi de rencontre'!$AB$36,IF('Suivi de rencontre'!$AB$25=2,"2 ème tour joueur "&amp;'Suivi de rencontre'!$AB$25,IF('Suivi de rencontre'!$AB$14=2,"1er tour joueur "&amp;'Suivi de rencontre'!$AB$38,""))))</f>
      </c>
      <c r="N9" s="95"/>
      <c r="O9" s="298" t="s">
        <v>126</v>
      </c>
      <c r="P9" s="34"/>
    </row>
    <row r="10" spans="1:16" ht="15.75">
      <c r="A10" s="34"/>
      <c r="B10" s="65"/>
      <c r="C10" s="68"/>
      <c r="D10" s="69"/>
      <c r="E10" s="69"/>
      <c r="F10" s="69"/>
      <c r="G10" s="189"/>
      <c r="H10" s="190"/>
      <c r="I10" s="167"/>
      <c r="J10" s="159"/>
      <c r="K10" s="71"/>
      <c r="L10" s="46"/>
      <c r="M10" s="246">
        <f>IF(ISERROR(K9),"manque MG "&amp;D9,"")</f>
      </c>
      <c r="N10" s="95"/>
      <c r="O10" s="296" t="s">
        <v>124</v>
      </c>
      <c r="P10" s="34"/>
    </row>
    <row r="11" spans="1:16" ht="15.75">
      <c r="A11" s="34"/>
      <c r="B11" s="65"/>
      <c r="C11" s="68" t="str">
        <f>Inscriptions!C12</f>
        <v>joueur 3</v>
      </c>
      <c r="D11" s="69" t="str">
        <f>IF(ISBLANK(Inscriptions!D12)," ",Inscriptions!D12)</f>
        <v> </v>
      </c>
      <c r="E11" s="69" t="str">
        <f>IF(ISBLANK(Inscriptions!E12)," ",Inscriptions!E12)</f>
        <v> </v>
      </c>
      <c r="F11" s="339">
        <f>Inscriptions!H12</f>
      </c>
      <c r="G11" s="189" t="str">
        <f>IF('Suivi de rencontre'!Q39=0," ",'Suivi de rencontre'!Q39)</f>
        <v> </v>
      </c>
      <c r="H11" s="190" t="str">
        <f>IF('Suivi de rencontre'!Q40=0," ",'Suivi de rencontre'!Q40)</f>
        <v> </v>
      </c>
      <c r="I11" s="168" t="str">
        <f>IF(D11=" "," ",'Suivi de rencontre'!Q41)</f>
        <v> </v>
      </c>
      <c r="J11" s="158">
        <f>IF(D11=" ",0,'Suivi de rencontre'!Q42)</f>
        <v>0</v>
      </c>
      <c r="K11" s="71">
        <f>IF(D11=" ",0,'Suivi de rencontre'!Q43)</f>
        <v>0</v>
      </c>
      <c r="L11" s="160">
        <f>'Suivi de rencontre'!$M$11+'Suivi de rencontre'!$M$22+'Suivi de rencontre'!$M$33</f>
        <v>0</v>
      </c>
      <c r="M11" s="245">
        <f>IF('Suivi de rencontre'!$AE$38&gt;1,"",IF('Suivi de rencontre'!$AB$36=3,"3 ème tour joueur "&amp;'Suivi de rencontre'!$AB$36,IF('Suivi de rencontre'!$AB$25=3,"2 ème tour joueur "&amp;'Suivi de rencontre'!$AB$25,IF('Suivi de rencontre'!$AB$14=3,"1er tour joueur "&amp;'Suivi de rencontre'!$AB$38,""))))</f>
      </c>
      <c r="N11" s="95"/>
      <c r="O11" s="298" t="s">
        <v>125</v>
      </c>
      <c r="P11" s="34"/>
    </row>
    <row r="12" spans="1:16" ht="19.5" customHeight="1">
      <c r="A12" s="34"/>
      <c r="B12" s="65"/>
      <c r="C12" s="417" t="str">
        <f>IF(F12=0," ",IF(F12=1,F12&amp;" Joueur ""Forfait"" pour "&amp;D20&amp;" "&amp;E20,F12&amp;" Joueurs ""Forfait"" pour "&amp;D20&amp;" "&amp;E20))</f>
        <v>3 Joueurs "Forfait" pour    </v>
      </c>
      <c r="D12" s="417"/>
      <c r="E12" s="417"/>
      <c r="F12" s="66">
        <f>IF(AND(D23=" ",D25=" ",D27=" "),3,IF(AND(D25=" ",D27=" "),2,IF(D27=" ",1,0)))</f>
        <v>3</v>
      </c>
      <c r="G12" s="417" t="str">
        <f>IF(F12=0," ","Points pour ""forfait"" adverse")</f>
        <v>Points pour "forfait" adverse</v>
      </c>
      <c r="H12" s="417"/>
      <c r="I12" s="417"/>
      <c r="J12" s="171">
        <f>IF(F12=0,"",F12*100)</f>
        <v>300</v>
      </c>
      <c r="K12" s="70"/>
      <c r="L12" s="343">
        <f>IF(F12=0,"",F12*60)</f>
        <v>180</v>
      </c>
      <c r="M12" s="246">
        <f>IF(ISERROR(K11),"manque MG "&amp;D11,"")</f>
      </c>
      <c r="N12" s="95"/>
      <c r="O12" s="297" t="s">
        <v>127</v>
      </c>
      <c r="P12" s="34"/>
    </row>
    <row r="13" spans="1:16" ht="14.25">
      <c r="A13" s="34"/>
      <c r="B13" s="65"/>
      <c r="C13" s="6"/>
      <c r="D13" s="49"/>
      <c r="E13" s="49"/>
      <c r="F13" s="6"/>
      <c r="G13" s="242"/>
      <c r="H13" s="49"/>
      <c r="I13" s="49" t="s">
        <v>46</v>
      </c>
      <c r="J13" s="251">
        <f>SUM(J7:J12)</f>
        <v>300</v>
      </c>
      <c r="K13" s="252">
        <f>SUM(K7:K11)</f>
        <v>0</v>
      </c>
      <c r="L13" s="253">
        <f>SUM(L7:L12)</f>
        <v>180</v>
      </c>
      <c r="M13" s="244">
        <f>IF('Suivi de rencontre'!$AB$38=0,"","Corrigez sur l'onglet")</f>
      </c>
      <c r="N13" s="96">
        <f>IF(F12=0,0,100*F12)</f>
        <v>300</v>
      </c>
      <c r="O13" s="297" t="s">
        <v>128</v>
      </c>
      <c r="P13" s="34"/>
    </row>
    <row r="14" spans="1:16" ht="12.75">
      <c r="A14" s="34"/>
      <c r="B14" s="258"/>
      <c r="C14" s="416" t="s">
        <v>59</v>
      </c>
      <c r="D14" s="416"/>
      <c r="E14" s="250"/>
      <c r="F14" s="250"/>
      <c r="G14" s="250"/>
      <c r="H14" s="250"/>
      <c r="I14" s="250"/>
      <c r="J14" s="254"/>
      <c r="K14" s="255"/>
      <c r="L14" s="259"/>
      <c r="M14" s="244">
        <f>IF('Suivi de rencontre'!$AB$38=0,"","""Suivi de rencontre""")</f>
      </c>
      <c r="N14" s="95"/>
      <c r="O14" s="37" t="s">
        <v>130</v>
      </c>
      <c r="P14" s="34"/>
    </row>
    <row r="15" spans="1:16" ht="26.25" customHeight="1">
      <c r="A15" s="34"/>
      <c r="B15" s="65"/>
      <c r="C15" s="414"/>
      <c r="D15" s="414"/>
      <c r="E15" s="414"/>
      <c r="F15" s="414"/>
      <c r="G15" s="414"/>
      <c r="H15" s="414"/>
      <c r="I15" s="415"/>
      <c r="J15" s="256"/>
      <c r="K15" s="164" t="str">
        <f>IF(ISBLANK(Inscriptions!E5),"?????",IF(ISBLANK(Inscriptions!D7),"?????",SUM(J7:L12)))</f>
        <v>?????</v>
      </c>
      <c r="L15" s="46"/>
      <c r="M15" s="244">
        <f>IF('Suivi de rencontre'!$AB$38=0,"",IF('Suivi de rencontre'!$AE$38&gt;1,"PLUSIEURS ERREURS","ERREUR DE SAISIE"))</f>
      </c>
      <c r="N15" s="95"/>
      <c r="O15" s="295" t="s">
        <v>122</v>
      </c>
      <c r="P15" s="34"/>
    </row>
    <row r="16" spans="1:16" ht="14.25" customHeight="1">
      <c r="A16" s="34"/>
      <c r="B16" s="65"/>
      <c r="C16" s="414"/>
      <c r="D16" s="414"/>
      <c r="E16" s="414"/>
      <c r="F16" s="414"/>
      <c r="G16" s="414"/>
      <c r="H16" s="414"/>
      <c r="I16" s="415"/>
      <c r="J16" s="257"/>
      <c r="K16" s="6"/>
      <c r="L16" s="46"/>
      <c r="M16" s="247"/>
      <c r="N16" s="95"/>
      <c r="O16" s="34"/>
      <c r="P16" s="34"/>
    </row>
    <row r="17" spans="1:16" ht="6.75" customHeight="1" thickBot="1">
      <c r="A17" s="34"/>
      <c r="B17" s="36"/>
      <c r="C17" s="260"/>
      <c r="D17" s="260"/>
      <c r="E17" s="260"/>
      <c r="F17" s="260"/>
      <c r="G17" s="260"/>
      <c r="H17" s="260"/>
      <c r="I17" s="260"/>
      <c r="J17" s="261"/>
      <c r="K17" s="50"/>
      <c r="L17" s="47"/>
      <c r="M17" s="247"/>
      <c r="N17" s="95"/>
      <c r="O17" s="34"/>
      <c r="P17" s="34"/>
    </row>
    <row r="18" spans="1:16" ht="13.5" customHeight="1">
      <c r="A18" s="34"/>
      <c r="B18" s="34"/>
      <c r="C18" s="420" t="str">
        <f>IF((L13+L29)=0,"",IF((L13+L29)&lt;&gt;Inscriptions!Q26," ATTENTION : la saisie n'est pas terminée, ou il y a une erreur",""))</f>
        <v> ATTENTION : la saisie n'est pas terminée, ou il y a une erreur</v>
      </c>
      <c r="D18" s="420"/>
      <c r="E18" s="420"/>
      <c r="F18" s="420"/>
      <c r="G18" s="420"/>
      <c r="H18" s="241"/>
      <c r="I18" s="420">
        <f>IF(OR(ISERROR(K15),ISERROR(K31)),"Complétez ""l'onglet INSCRIPTIONS""","")</f>
      </c>
      <c r="J18" s="420"/>
      <c r="K18" s="420"/>
      <c r="L18" s="420"/>
      <c r="M18" s="420"/>
      <c r="N18" s="95"/>
      <c r="O18" s="34"/>
      <c r="P18" s="34"/>
    </row>
    <row r="19" spans="1:16" ht="8.25" customHeight="1" thickBot="1">
      <c r="A19" s="34"/>
      <c r="B19" s="34"/>
      <c r="C19" s="421"/>
      <c r="D19" s="421"/>
      <c r="E19" s="421"/>
      <c r="F19" s="421"/>
      <c r="G19" s="421"/>
      <c r="H19" s="195"/>
      <c r="I19" s="421"/>
      <c r="J19" s="421"/>
      <c r="K19" s="421"/>
      <c r="L19" s="421"/>
      <c r="M19" s="420"/>
      <c r="N19" s="95"/>
      <c r="O19" s="34"/>
      <c r="P19" s="34"/>
    </row>
    <row r="20" spans="1:16" ht="16.5" customHeight="1">
      <c r="A20" s="34"/>
      <c r="B20" s="35"/>
      <c r="C20" s="39"/>
      <c r="D20" s="418" t="str">
        <f>IF(ISBLANK(Inscriptions!D17)," ",Inscriptions!D17)</f>
        <v> </v>
      </c>
      <c r="E20" s="418" t="str">
        <f>IF(ISBLANK(Inscriptions!F17)," ",Inscriptions!F17)</f>
        <v> </v>
      </c>
      <c r="F20" s="39"/>
      <c r="G20" s="422" t="s">
        <v>42</v>
      </c>
      <c r="H20" s="423"/>
      <c r="I20" s="185" t="s">
        <v>43</v>
      </c>
      <c r="J20" s="39"/>
      <c r="K20" s="39" t="s">
        <v>38</v>
      </c>
      <c r="L20" s="48"/>
      <c r="M20" s="262"/>
      <c r="N20" s="95"/>
      <c r="O20" s="34"/>
      <c r="P20" s="34"/>
    </row>
    <row r="21" spans="1:16" ht="24" customHeight="1">
      <c r="A21" s="34"/>
      <c r="B21" s="65"/>
      <c r="C21" s="72"/>
      <c r="D21" s="419"/>
      <c r="E21" s="419"/>
      <c r="F21" s="72"/>
      <c r="G21" s="183" t="s">
        <v>37</v>
      </c>
      <c r="H21" s="184" t="s">
        <v>10</v>
      </c>
      <c r="I21" s="186" t="s">
        <v>44</v>
      </c>
      <c r="J21" s="182" t="s">
        <v>39</v>
      </c>
      <c r="K21" s="73" t="s">
        <v>40</v>
      </c>
      <c r="L21" s="156" t="s">
        <v>41</v>
      </c>
      <c r="M21" s="243"/>
      <c r="N21" s="95"/>
      <c r="O21" s="34"/>
      <c r="P21" s="34"/>
    </row>
    <row r="22" spans="1:16" ht="12.75">
      <c r="A22" s="34"/>
      <c r="B22" s="65"/>
      <c r="C22" s="40"/>
      <c r="D22" s="40"/>
      <c r="E22" s="40"/>
      <c r="F22" s="40"/>
      <c r="G22" s="187"/>
      <c r="H22" s="188"/>
      <c r="I22" s="162"/>
      <c r="J22" s="163"/>
      <c r="K22" s="49"/>
      <c r="L22" s="46"/>
      <c r="M22" s="244"/>
      <c r="N22" s="95"/>
      <c r="P22" s="34"/>
    </row>
    <row r="23" spans="1:16" ht="15.75">
      <c r="A23" s="34"/>
      <c r="B23" s="65"/>
      <c r="C23" s="68" t="str">
        <f>Inscriptions!C20</f>
        <v>joueur 4</v>
      </c>
      <c r="D23" s="69" t="str">
        <f>IF(ISBLANK(Inscriptions!D20)," ",Inscriptions!D20)</f>
        <v> </v>
      </c>
      <c r="E23" s="69" t="str">
        <f>IF(ISBLANK(Inscriptions!E20)," ",Inscriptions!E20)</f>
        <v> </v>
      </c>
      <c r="F23" s="339">
        <f>Inscriptions!H20</f>
      </c>
      <c r="G23" s="189" t="str">
        <f>IF('Suivi de rencontre'!R39=0," ",'Suivi de rencontre'!R39)</f>
        <v> </v>
      </c>
      <c r="H23" s="190" t="str">
        <f>IF('Suivi de rencontre'!R40=0," ",'Suivi de rencontre'!R40)</f>
        <v> </v>
      </c>
      <c r="I23" s="169" t="str">
        <f>IF(D23=" "," ",'Suivi de rencontre'!R41)</f>
        <v> </v>
      </c>
      <c r="J23" s="158">
        <f>IF(D23=" ",0,'Suivi de rencontre'!R42)</f>
        <v>0</v>
      </c>
      <c r="K23" s="71">
        <f>IF(D23=" ",0,'Suivi de rencontre'!R43)</f>
        <v>0</v>
      </c>
      <c r="L23" s="160">
        <f>'Suivi de rencontre'!$N$6+'Suivi de rencontre'!$N$20+'Suivi de rencontre'!$N$34</f>
        <v>0</v>
      </c>
      <c r="M23" s="245">
        <f>IF('Suivi de rencontre'!AF38&gt;1,"",IF('Suivi de rencontre'!$AC$36=4,"3 ème tour joueur "&amp;'Suivi de rencontre'!$AC$36,IF('Suivi de rencontre'!$AC$25=4,"2 ème tour joueur "&amp;'Suivi de rencontre'!$AC$25,IF('Suivi de rencontre'!$AC$14=4,"1er tour joueur "&amp;'Suivi de rencontre'!$AC$38,""))))</f>
      </c>
      <c r="N23" s="95"/>
      <c r="O23" s="299" t="s">
        <v>129</v>
      </c>
      <c r="P23" s="34"/>
    </row>
    <row r="24" spans="1:15" ht="15.75">
      <c r="A24" s="34"/>
      <c r="B24" s="65"/>
      <c r="C24" s="68"/>
      <c r="D24" s="69"/>
      <c r="E24" s="69"/>
      <c r="F24" s="69"/>
      <c r="G24" s="189"/>
      <c r="H24" s="190"/>
      <c r="I24" s="170"/>
      <c r="J24" s="159"/>
      <c r="K24" s="71"/>
      <c r="L24" s="46"/>
      <c r="M24" s="246">
        <f>IF(ISERROR(K23),"manque MG "&amp;D23,"")</f>
      </c>
      <c r="N24" s="95"/>
      <c r="O24" s="297" t="s">
        <v>115</v>
      </c>
    </row>
    <row r="25" spans="1:16" ht="15.75">
      <c r="A25" s="34"/>
      <c r="B25" s="65"/>
      <c r="C25" s="68" t="str">
        <f>Inscriptions!C21</f>
        <v>joueur 5</v>
      </c>
      <c r="D25" s="69" t="str">
        <f>IF(ISBLANK(Inscriptions!D21)," ",Inscriptions!D21)</f>
        <v> </v>
      </c>
      <c r="E25" s="69" t="str">
        <f>IF(ISBLANK(Inscriptions!E21)," ",Inscriptions!E21)</f>
        <v> </v>
      </c>
      <c r="F25" s="339">
        <f>Inscriptions!H21</f>
      </c>
      <c r="G25" s="189" t="str">
        <f>IF('Suivi de rencontre'!S39=0," ",'Suivi de rencontre'!S39)</f>
        <v> </v>
      </c>
      <c r="H25" s="190" t="str">
        <f>IF('Suivi de rencontre'!S40=0," ",'Suivi de rencontre'!S40)</f>
        <v> </v>
      </c>
      <c r="I25" s="169" t="str">
        <f>IF(D25=" "," ",'Suivi de rencontre'!S41)</f>
        <v> </v>
      </c>
      <c r="J25" s="158">
        <f>IF(D25=" ",0,'Suivi de rencontre'!S42)</f>
        <v>0</v>
      </c>
      <c r="K25" s="71">
        <f>IF(D25=" ",0,'Suivi de rencontre'!S43)</f>
        <v>0</v>
      </c>
      <c r="L25" s="160">
        <f>'Suivi de rencontre'!$N$9+'Suivi de rencontre'!$N$23+'Suivi de rencontre'!$N$28</f>
        <v>0</v>
      </c>
      <c r="M25" s="245">
        <f>IF('Suivi de rencontre'!AF38&gt;1,"",IF('Suivi de rencontre'!$AC$36=5,"3 ème tour joueur "&amp;'Suivi de rencontre'!$AC$36,IF('Suivi de rencontre'!$AC$25=5,"2 ème tour joueur "&amp;'Suivi de rencontre'!$AC$25,IF('Suivi de rencontre'!$AC$14=5,"1er tour joueur "&amp;'Suivi de rencontre'!$AC$38,""))))</f>
      </c>
      <c r="N25" s="95"/>
      <c r="O25" s="301" t="s">
        <v>116</v>
      </c>
      <c r="P25" s="34"/>
    </row>
    <row r="26" spans="1:17" ht="15.75">
      <c r="A26" s="34"/>
      <c r="B26" s="65"/>
      <c r="C26" s="68"/>
      <c r="D26" s="69"/>
      <c r="E26" s="69"/>
      <c r="F26" s="69"/>
      <c r="G26" s="189"/>
      <c r="H26" s="190"/>
      <c r="I26" s="170"/>
      <c r="J26" s="159"/>
      <c r="K26" s="71"/>
      <c r="L26" s="46"/>
      <c r="M26" s="246">
        <f>IF(ISERROR(K25),"manque MG "&amp;D25,"")</f>
      </c>
      <c r="N26" s="95"/>
      <c r="O26" s="302" t="s">
        <v>117</v>
      </c>
      <c r="P26" s="34"/>
      <c r="Q26" s="34"/>
    </row>
    <row r="27" spans="1:17" ht="15.75">
      <c r="A27" s="34"/>
      <c r="B27" s="65"/>
      <c r="C27" s="68" t="str">
        <f>Inscriptions!C22</f>
        <v>joueur 6</v>
      </c>
      <c r="D27" s="69" t="str">
        <f>IF(ISBLANK(Inscriptions!D22)," ",Inscriptions!D22)</f>
        <v> </v>
      </c>
      <c r="E27" s="69" t="str">
        <f>IF(ISBLANK(Inscriptions!E22)," ",Inscriptions!E22)</f>
        <v> </v>
      </c>
      <c r="F27" s="339">
        <f>Inscriptions!H22</f>
      </c>
      <c r="G27" s="189" t="str">
        <f>IF('Suivi de rencontre'!T39=0," ",'Suivi de rencontre'!T39)</f>
        <v> </v>
      </c>
      <c r="H27" s="190" t="str">
        <f>IF('Suivi de rencontre'!T40=0," ",'Suivi de rencontre'!T40)</f>
        <v> </v>
      </c>
      <c r="I27" s="169" t="str">
        <f>IF(D27=" "," ",'Suivi de rencontre'!T41)</f>
        <v> </v>
      </c>
      <c r="J27" s="158">
        <f>IF(D27=" ",0,'Suivi de rencontre'!T42)</f>
        <v>0</v>
      </c>
      <c r="K27" s="71">
        <f>IF(D27=" ",0,'Suivi de rencontre'!T43)</f>
        <v>0</v>
      </c>
      <c r="L27" s="160">
        <f>'Suivi de rencontre'!$N$12+'Suivi de rencontre'!$N$17+'Suivi de rencontre'!$N$31</f>
        <v>0</v>
      </c>
      <c r="M27" s="245">
        <f>IF('Suivi de rencontre'!AF38&gt;1,"",IF('Suivi de rencontre'!$AC$36=6,"3 ème tour joueur "&amp;'Suivi de rencontre'!$AC$36,IF('Suivi de rencontre'!$AC$25=6,"2 ème tour joueur "&amp;'Suivi de rencontre'!$AC$25,IF('Suivi de rencontre'!$AC$14=6,"1er tour joueur "&amp;'Suivi de rencontre'!$AC$38,""))))</f>
      </c>
      <c r="N27" s="95"/>
      <c r="O27" s="302" t="s">
        <v>118</v>
      </c>
      <c r="P27" s="34"/>
      <c r="Q27" s="34"/>
    </row>
    <row r="28" spans="1:23" ht="19.5" customHeight="1">
      <c r="A28" s="34"/>
      <c r="B28" s="65"/>
      <c r="C28" s="417" t="str">
        <f>IF(F28=0," ",IF(F28=1,F28&amp;" Joueur ""Forfait"" pour "&amp;D4&amp;" "&amp;E4,F28&amp;" Joueurs ""Forfait"" pour "&amp;D4&amp;" "&amp;E4))</f>
        <v>3 Joueurs "Forfait" pour    </v>
      </c>
      <c r="D28" s="417"/>
      <c r="E28" s="417"/>
      <c r="F28" s="66">
        <f>IF(AND(D7=" ",D9=" ",D11=" "),3,IF(AND(D9=" ",D11=" "),2,IF(D11=" ",1,0)))</f>
        <v>3</v>
      </c>
      <c r="G28" s="417" t="str">
        <f>IF(F28=0," ","Points pour ""forfait"" adverse")</f>
        <v>Points pour "forfait" adverse</v>
      </c>
      <c r="H28" s="417"/>
      <c r="I28" s="417"/>
      <c r="J28" s="171">
        <f>IF(F28=0,"",F28*100)</f>
        <v>300</v>
      </c>
      <c r="K28" s="71"/>
      <c r="L28" s="343">
        <f>IF(F28=0,"",F28*60)</f>
        <v>180</v>
      </c>
      <c r="M28" s="246">
        <f>IF(ISERROR(K27),"manque MG "&amp;D11,"")</f>
      </c>
      <c r="N28" s="95"/>
      <c r="O28" s="299" t="s">
        <v>119</v>
      </c>
      <c r="P28" s="34"/>
      <c r="Q28" s="34"/>
      <c r="R28" s="34"/>
      <c r="S28" s="135"/>
      <c r="T28" s="34"/>
      <c r="U28" s="34"/>
      <c r="V28" s="34"/>
      <c r="W28" s="34"/>
    </row>
    <row r="29" spans="1:17" ht="14.25">
      <c r="A29" s="34"/>
      <c r="B29" s="65"/>
      <c r="C29" s="6"/>
      <c r="D29" s="49"/>
      <c r="E29" s="49"/>
      <c r="F29" s="6"/>
      <c r="G29" s="242"/>
      <c r="H29" s="49"/>
      <c r="I29" s="49" t="s">
        <v>46</v>
      </c>
      <c r="J29" s="176">
        <f>SUM(J23:J28)</f>
        <v>300</v>
      </c>
      <c r="K29" s="177">
        <f>SUM(K23:K27)</f>
        <v>0</v>
      </c>
      <c r="L29" s="178">
        <f>SUM(L23:L28)</f>
        <v>180</v>
      </c>
      <c r="M29" s="244">
        <f>IF('Suivi de rencontre'!$AC$38=0,"","Corrigez sur l'onglet")</f>
      </c>
      <c r="N29" s="96">
        <f>IF(F28=0,0,100*F28)</f>
        <v>300</v>
      </c>
      <c r="O29" s="297" t="s">
        <v>121</v>
      </c>
      <c r="P29" s="34"/>
      <c r="Q29" s="34"/>
    </row>
    <row r="30" spans="1:17" ht="12.75">
      <c r="A30" s="34"/>
      <c r="B30" s="265"/>
      <c r="C30" s="416" t="s">
        <v>59</v>
      </c>
      <c r="D30" s="416"/>
      <c r="E30" s="248"/>
      <c r="F30" s="249"/>
      <c r="G30" s="249"/>
      <c r="H30" s="249"/>
      <c r="I30" s="263"/>
      <c r="J30" s="49"/>
      <c r="K30" s="49"/>
      <c r="L30" s="46"/>
      <c r="M30" s="244">
        <f>IF('Suivi de rencontre'!$AC$38=0,"","""Suivi de rencontre""")</f>
      </c>
      <c r="N30" s="95"/>
      <c r="O30" s="1" t="s">
        <v>120</v>
      </c>
      <c r="P30" s="34"/>
      <c r="Q30" s="34"/>
    </row>
    <row r="31" spans="1:17" ht="26.25" customHeight="1">
      <c r="A31" s="34"/>
      <c r="B31" s="65"/>
      <c r="C31" s="414"/>
      <c r="D31" s="414"/>
      <c r="E31" s="414"/>
      <c r="F31" s="414"/>
      <c r="G31" s="414"/>
      <c r="H31" s="414"/>
      <c r="I31" s="415"/>
      <c r="J31" s="161"/>
      <c r="K31" s="164" t="str">
        <f>IF(ISBLANK(Inscriptions!E5),"?????",IF(ISBLANK(Inscriptions!D17),"?????",SUM(J23:L28)))</f>
        <v>?????</v>
      </c>
      <c r="L31" s="46"/>
      <c r="M31" s="244">
        <f>IF('Suivi de rencontre'!$AC$38=0,"",IF('Suivi de rencontre'!$AF$38&gt;1,"PLUSIEURS ERREURS","ERREUR DE SAISIE"))</f>
      </c>
      <c r="N31" s="95"/>
      <c r="O31" s="292" t="s">
        <v>114</v>
      </c>
      <c r="P31" s="34"/>
      <c r="Q31" s="34"/>
    </row>
    <row r="32" spans="1:17" ht="14.25" customHeight="1">
      <c r="A32" s="34"/>
      <c r="B32" s="65"/>
      <c r="C32" s="414"/>
      <c r="D32" s="414"/>
      <c r="E32" s="414"/>
      <c r="F32" s="414"/>
      <c r="G32" s="414"/>
      <c r="H32" s="414"/>
      <c r="I32" s="415"/>
      <c r="J32" s="164"/>
      <c r="K32" s="6"/>
      <c r="L32" s="46"/>
      <c r="M32" s="247"/>
      <c r="N32" s="95"/>
      <c r="O32" s="34"/>
      <c r="P32" s="34"/>
      <c r="Q32" s="34"/>
    </row>
    <row r="33" spans="1:16" ht="6.75" customHeight="1" thickBot="1">
      <c r="A33" s="34"/>
      <c r="B33" s="36"/>
      <c r="C33" s="41"/>
      <c r="D33" s="41"/>
      <c r="E33" s="165"/>
      <c r="F33" s="41"/>
      <c r="G33" s="50"/>
      <c r="H33" s="50"/>
      <c r="I33" s="264"/>
      <c r="J33" s="50"/>
      <c r="K33" s="50"/>
      <c r="L33" s="47"/>
      <c r="M33" s="247"/>
      <c r="N33" s="95"/>
      <c r="O33" s="34"/>
      <c r="P33" s="34"/>
    </row>
    <row r="34" spans="1:16" ht="6" customHeight="1">
      <c r="A34" s="34"/>
      <c r="B34" s="34"/>
      <c r="C34" s="34"/>
      <c r="D34" s="34"/>
      <c r="E34" s="34"/>
      <c r="F34" s="34"/>
      <c r="G34" s="135"/>
      <c r="H34" s="34"/>
      <c r="I34" s="34"/>
      <c r="J34" s="34"/>
      <c r="K34" s="34"/>
      <c r="L34" s="34"/>
      <c r="M34" s="34"/>
      <c r="N34" s="95"/>
      <c r="O34" s="34"/>
      <c r="P34" s="34"/>
    </row>
    <row r="35" spans="1:16" ht="15.75">
      <c r="A35" s="34"/>
      <c r="B35" s="267"/>
      <c r="D35" s="294" t="s">
        <v>132</v>
      </c>
      <c r="E35" s="267"/>
      <c r="F35" s="267"/>
      <c r="G35" s="267"/>
      <c r="I35" s="293" t="s">
        <v>133</v>
      </c>
      <c r="J35" s="267"/>
      <c r="K35" s="267"/>
      <c r="L35" s="267"/>
      <c r="M35" s="266"/>
      <c r="N35" s="95"/>
      <c r="O35" s="34"/>
      <c r="P35" s="34"/>
    </row>
    <row r="36" spans="1:16" ht="12.75">
      <c r="A36" s="34"/>
      <c r="B36" s="34"/>
      <c r="D36" s="34"/>
      <c r="E36" s="34"/>
      <c r="F36" s="67"/>
      <c r="G36" s="135"/>
      <c r="H36" s="34"/>
      <c r="I36" s="34"/>
      <c r="J36" s="34"/>
      <c r="K36" s="34"/>
      <c r="L36" s="34"/>
      <c r="M36" s="34"/>
      <c r="N36" s="95"/>
      <c r="O36" s="34"/>
      <c r="P36" s="34"/>
    </row>
    <row r="37" spans="1:16" ht="12.75">
      <c r="A37" s="34"/>
      <c r="B37" s="34"/>
      <c r="L37" s="34"/>
      <c r="M37" s="34"/>
      <c r="N37" s="95"/>
      <c r="O37" s="34"/>
      <c r="P37" s="34"/>
    </row>
    <row r="38" spans="1:16" ht="12.75">
      <c r="A38" s="34"/>
      <c r="B38" s="34"/>
      <c r="C38" s="34"/>
      <c r="D38" s="34"/>
      <c r="E38" s="34"/>
      <c r="F38" s="34"/>
      <c r="G38" s="135"/>
      <c r="H38" s="34"/>
      <c r="I38" s="34"/>
      <c r="J38" s="34"/>
      <c r="K38" s="34"/>
      <c r="L38" s="34"/>
      <c r="M38" s="34"/>
      <c r="N38" s="95"/>
      <c r="O38" s="34"/>
      <c r="P38" s="34"/>
    </row>
    <row r="39" spans="1:16" ht="12.75">
      <c r="A39" s="34"/>
      <c r="B39" s="34"/>
      <c r="C39" s="34"/>
      <c r="D39" s="34"/>
      <c r="E39" s="34"/>
      <c r="F39" s="34"/>
      <c r="G39" s="135"/>
      <c r="H39" s="34"/>
      <c r="I39" s="34"/>
      <c r="J39" s="34"/>
      <c r="K39" s="34"/>
      <c r="L39" s="34"/>
      <c r="M39" s="34"/>
      <c r="N39" s="95"/>
      <c r="O39" s="34"/>
      <c r="P39" s="34"/>
    </row>
    <row r="40" spans="1:16" ht="12.75">
      <c r="A40" s="34"/>
      <c r="B40" s="34"/>
      <c r="C40" s="34"/>
      <c r="D40" s="34"/>
      <c r="E40" s="34"/>
      <c r="F40" s="34"/>
      <c r="G40" s="135"/>
      <c r="H40" s="34"/>
      <c r="I40" s="34"/>
      <c r="J40" s="34"/>
      <c r="K40" s="34"/>
      <c r="L40" s="34"/>
      <c r="M40" s="34"/>
      <c r="N40" s="95"/>
      <c r="O40" s="34"/>
      <c r="P40" s="34"/>
    </row>
    <row r="41" spans="1:16" ht="12.75">
      <c r="A41" s="34"/>
      <c r="B41" s="34"/>
      <c r="C41" s="34"/>
      <c r="D41" s="34"/>
      <c r="E41" s="34"/>
      <c r="F41" s="34"/>
      <c r="G41" s="135"/>
      <c r="H41" s="34"/>
      <c r="I41" s="34"/>
      <c r="J41" s="34"/>
      <c r="K41" s="34"/>
      <c r="L41" s="34"/>
      <c r="M41" s="34"/>
      <c r="N41" s="95"/>
      <c r="O41" s="34"/>
      <c r="P41" s="34"/>
    </row>
    <row r="42" spans="1:16" ht="12.75">
      <c r="A42" s="34"/>
      <c r="B42" s="34"/>
      <c r="C42" s="34"/>
      <c r="D42" s="34"/>
      <c r="E42" s="34"/>
      <c r="F42" s="34"/>
      <c r="G42" s="135"/>
      <c r="H42" s="34"/>
      <c r="I42" s="34"/>
      <c r="J42" s="34"/>
      <c r="K42" s="34"/>
      <c r="L42" s="34"/>
      <c r="M42" s="34"/>
      <c r="N42" s="95"/>
      <c r="O42" s="34"/>
      <c r="P42" s="34"/>
    </row>
    <row r="43" spans="1:16" ht="12.75">
      <c r="A43" s="34"/>
      <c r="B43" s="34"/>
      <c r="C43" s="34"/>
      <c r="D43" s="34"/>
      <c r="E43" s="34"/>
      <c r="F43" s="34"/>
      <c r="G43" s="135"/>
      <c r="H43" s="34"/>
      <c r="I43" s="34"/>
      <c r="J43" s="34"/>
      <c r="K43" s="34"/>
      <c r="L43" s="34"/>
      <c r="M43" s="34"/>
      <c r="N43" s="95"/>
      <c r="O43" s="34"/>
      <c r="P43" s="34"/>
    </row>
    <row r="44" spans="1:16" ht="12.75">
      <c r="A44" s="34"/>
      <c r="B44" s="34"/>
      <c r="C44" s="34"/>
      <c r="D44" s="34"/>
      <c r="E44" s="34"/>
      <c r="F44" s="34"/>
      <c r="G44" s="135"/>
      <c r="H44" s="34"/>
      <c r="I44" s="34"/>
      <c r="J44" s="34"/>
      <c r="K44" s="34"/>
      <c r="L44" s="34"/>
      <c r="M44" s="34"/>
      <c r="N44" s="95"/>
      <c r="O44" s="34"/>
      <c r="P44" s="34"/>
    </row>
    <row r="45" spans="1:16" ht="12.75">
      <c r="A45" s="34"/>
      <c r="B45" s="34"/>
      <c r="C45" s="34"/>
      <c r="D45" s="34"/>
      <c r="E45" s="34"/>
      <c r="F45" s="34"/>
      <c r="G45" s="135"/>
      <c r="H45" s="34"/>
      <c r="I45" s="34"/>
      <c r="J45" s="34"/>
      <c r="K45" s="34"/>
      <c r="L45" s="34"/>
      <c r="M45" s="34"/>
      <c r="N45" s="95"/>
      <c r="O45" s="34"/>
      <c r="P45" s="34"/>
    </row>
    <row r="46" spans="1:16" ht="12.75">
      <c r="A46" s="34"/>
      <c r="B46" s="34"/>
      <c r="C46" s="34"/>
      <c r="D46" s="34"/>
      <c r="E46" s="34"/>
      <c r="F46" s="34"/>
      <c r="G46" s="135"/>
      <c r="H46" s="34"/>
      <c r="I46" s="34"/>
      <c r="J46" s="34"/>
      <c r="K46" s="34"/>
      <c r="L46" s="34"/>
      <c r="M46" s="34"/>
      <c r="N46" s="95"/>
      <c r="O46" s="34"/>
      <c r="P46" s="34"/>
    </row>
    <row r="47" spans="1:16" ht="12.75">
      <c r="A47" s="34"/>
      <c r="B47" s="34"/>
      <c r="C47" s="34"/>
      <c r="D47" s="34"/>
      <c r="E47" s="34"/>
      <c r="F47" s="34"/>
      <c r="G47" s="135"/>
      <c r="H47" s="34"/>
      <c r="I47" s="34"/>
      <c r="J47" s="34"/>
      <c r="K47" s="34"/>
      <c r="L47" s="34"/>
      <c r="M47" s="34"/>
      <c r="N47" s="95"/>
      <c r="O47" s="34"/>
      <c r="P47" s="34"/>
    </row>
    <row r="48" spans="1:16" ht="12.75">
      <c r="A48" s="34"/>
      <c r="B48" s="34"/>
      <c r="C48" s="34"/>
      <c r="D48" s="34"/>
      <c r="E48" s="34"/>
      <c r="F48" s="34"/>
      <c r="G48" s="135"/>
      <c r="H48" s="34"/>
      <c r="I48" s="34"/>
      <c r="J48" s="34"/>
      <c r="K48" s="34"/>
      <c r="L48" s="34"/>
      <c r="M48" s="34"/>
      <c r="N48" s="95"/>
      <c r="O48" s="34"/>
      <c r="P48" s="34"/>
    </row>
    <row r="49" spans="1:16" ht="12.75">
      <c r="A49" s="34"/>
      <c r="B49" s="34"/>
      <c r="C49" s="34"/>
      <c r="D49" s="34"/>
      <c r="E49" s="34"/>
      <c r="F49" s="34"/>
      <c r="G49" s="135"/>
      <c r="H49" s="34"/>
      <c r="I49" s="34"/>
      <c r="J49" s="34"/>
      <c r="K49" s="34"/>
      <c r="L49" s="34"/>
      <c r="M49" s="34"/>
      <c r="N49" s="95"/>
      <c r="O49" s="34"/>
      <c r="P49" s="34"/>
    </row>
    <row r="50" spans="1:16" ht="12.75">
      <c r="A50" s="34"/>
      <c r="B50" s="34"/>
      <c r="C50" s="34"/>
      <c r="D50" s="34"/>
      <c r="E50" s="34"/>
      <c r="F50" s="34"/>
      <c r="G50" s="135"/>
      <c r="H50" s="34"/>
      <c r="I50" s="34"/>
      <c r="J50" s="34"/>
      <c r="K50" s="34"/>
      <c r="L50" s="34"/>
      <c r="M50" s="34"/>
      <c r="N50" s="95"/>
      <c r="O50" s="34"/>
      <c r="P50" s="34"/>
    </row>
    <row r="51" spans="1:16" ht="12.75">
      <c r="A51" s="34"/>
      <c r="B51" s="34"/>
      <c r="C51" s="34"/>
      <c r="D51" s="34"/>
      <c r="E51" s="34"/>
      <c r="F51" s="34"/>
      <c r="G51" s="135"/>
      <c r="H51" s="34"/>
      <c r="I51" s="34"/>
      <c r="J51" s="34"/>
      <c r="K51" s="34"/>
      <c r="L51" s="34"/>
      <c r="M51" s="34"/>
      <c r="N51" s="95"/>
      <c r="O51" s="34"/>
      <c r="P51" s="34"/>
    </row>
    <row r="52" spans="1:16" ht="12.75">
      <c r="A52" s="34"/>
      <c r="B52" s="34"/>
      <c r="C52" s="34"/>
      <c r="D52" s="34"/>
      <c r="E52" s="34"/>
      <c r="F52" s="34"/>
      <c r="G52" s="135"/>
      <c r="H52" s="34"/>
      <c r="I52" s="34"/>
      <c r="J52" s="34"/>
      <c r="K52" s="34"/>
      <c r="L52" s="34"/>
      <c r="M52" s="34"/>
      <c r="N52" s="95"/>
      <c r="O52" s="34"/>
      <c r="P52" s="34"/>
    </row>
    <row r="53" spans="1:16" ht="12.75">
      <c r="A53" s="34"/>
      <c r="B53" s="34"/>
      <c r="C53" s="34"/>
      <c r="D53" s="34"/>
      <c r="E53" s="34"/>
      <c r="F53" s="34"/>
      <c r="G53" s="135"/>
      <c r="H53" s="34"/>
      <c r="I53" s="34"/>
      <c r="J53" s="34"/>
      <c r="K53" s="34"/>
      <c r="L53" s="34"/>
      <c r="M53" s="34"/>
      <c r="N53" s="95"/>
      <c r="O53" s="34"/>
      <c r="P53" s="34"/>
    </row>
    <row r="54" spans="1:16" ht="12.75">
      <c r="A54" s="34"/>
      <c r="B54" s="34"/>
      <c r="C54" s="34"/>
      <c r="D54" s="34"/>
      <c r="E54" s="34"/>
      <c r="F54" s="34"/>
      <c r="G54" s="135"/>
      <c r="H54" s="34"/>
      <c r="I54" s="34"/>
      <c r="J54" s="34"/>
      <c r="K54" s="34"/>
      <c r="L54" s="34"/>
      <c r="M54" s="34"/>
      <c r="N54" s="95"/>
      <c r="O54" s="34"/>
      <c r="P54" s="34"/>
    </row>
    <row r="55" spans="1:16" ht="12.75">
      <c r="A55" s="34"/>
      <c r="B55" s="34"/>
      <c r="C55" s="34"/>
      <c r="D55" s="34"/>
      <c r="E55" s="34"/>
      <c r="F55" s="34"/>
      <c r="G55" s="135"/>
      <c r="H55" s="34"/>
      <c r="I55" s="34"/>
      <c r="J55" s="34"/>
      <c r="K55" s="34"/>
      <c r="L55" s="34"/>
      <c r="M55" s="34"/>
      <c r="N55" s="95"/>
      <c r="O55" s="34"/>
      <c r="P55" s="34"/>
    </row>
    <row r="56" spans="1:16" ht="12.75">
      <c r="A56" s="34"/>
      <c r="B56" s="34"/>
      <c r="C56" s="34"/>
      <c r="D56" s="34"/>
      <c r="E56" s="34"/>
      <c r="F56" s="34"/>
      <c r="G56" s="135"/>
      <c r="H56" s="34"/>
      <c r="I56" s="34"/>
      <c r="J56" s="34"/>
      <c r="K56" s="34"/>
      <c r="L56" s="34"/>
      <c r="M56" s="34"/>
      <c r="N56" s="95"/>
      <c r="O56" s="34"/>
      <c r="P56" s="34"/>
    </row>
    <row r="57" spans="1:16" ht="12.75">
      <c r="A57" s="34"/>
      <c r="B57" s="34"/>
      <c r="C57" s="34"/>
      <c r="D57" s="34"/>
      <c r="E57" s="34"/>
      <c r="F57" s="34"/>
      <c r="G57" s="135"/>
      <c r="H57" s="34"/>
      <c r="I57" s="34"/>
      <c r="J57" s="34"/>
      <c r="K57" s="34"/>
      <c r="L57" s="34"/>
      <c r="M57" s="34"/>
      <c r="N57" s="95"/>
      <c r="O57" s="34"/>
      <c r="P57" s="34"/>
    </row>
    <row r="58" spans="1:16" ht="12.75">
      <c r="A58" s="34"/>
      <c r="B58" s="34"/>
      <c r="C58" s="34"/>
      <c r="D58" s="34"/>
      <c r="E58" s="34"/>
      <c r="F58" s="34"/>
      <c r="G58" s="135"/>
      <c r="H58" s="34"/>
      <c r="I58" s="34"/>
      <c r="J58" s="34"/>
      <c r="K58" s="34"/>
      <c r="L58" s="34"/>
      <c r="M58" s="34"/>
      <c r="N58" s="95"/>
      <c r="O58" s="34"/>
      <c r="P58" s="34"/>
    </row>
    <row r="59" spans="1:16" ht="12.75">
      <c r="A59" s="34"/>
      <c r="B59" s="34"/>
      <c r="C59" s="34"/>
      <c r="D59" s="34"/>
      <c r="E59" s="34"/>
      <c r="F59" s="34"/>
      <c r="G59" s="135"/>
      <c r="H59" s="34"/>
      <c r="I59" s="34"/>
      <c r="J59" s="34"/>
      <c r="K59" s="34"/>
      <c r="L59" s="34"/>
      <c r="M59" s="34"/>
      <c r="N59" s="95"/>
      <c r="O59" s="34"/>
      <c r="P59" s="34"/>
    </row>
    <row r="60" spans="1:16" ht="12.75">
      <c r="A60" s="34"/>
      <c r="B60" s="34"/>
      <c r="C60" s="34"/>
      <c r="D60" s="34"/>
      <c r="E60" s="34"/>
      <c r="F60" s="34"/>
      <c r="G60" s="135"/>
      <c r="H60" s="34"/>
      <c r="I60" s="34"/>
      <c r="J60" s="34"/>
      <c r="K60" s="34"/>
      <c r="L60" s="34"/>
      <c r="M60" s="34"/>
      <c r="N60" s="95"/>
      <c r="O60" s="34"/>
      <c r="P60" s="34"/>
    </row>
    <row r="61" spans="1:16" ht="12.75">
      <c r="A61" s="34"/>
      <c r="B61" s="34"/>
      <c r="C61" s="34"/>
      <c r="D61" s="34"/>
      <c r="E61" s="34"/>
      <c r="F61" s="34"/>
      <c r="G61" s="135"/>
      <c r="H61" s="34"/>
      <c r="I61" s="34"/>
      <c r="J61" s="34"/>
      <c r="K61" s="34"/>
      <c r="L61" s="34"/>
      <c r="M61" s="34"/>
      <c r="N61" s="95"/>
      <c r="O61" s="34"/>
      <c r="P61" s="34"/>
    </row>
    <row r="62" spans="1:16" ht="12.75">
      <c r="A62" s="34"/>
      <c r="B62" s="34"/>
      <c r="C62" s="34"/>
      <c r="D62" s="34"/>
      <c r="E62" s="34"/>
      <c r="F62" s="34"/>
      <c r="G62" s="135"/>
      <c r="H62" s="34"/>
      <c r="I62" s="34"/>
      <c r="J62" s="34"/>
      <c r="K62" s="34"/>
      <c r="L62" s="34"/>
      <c r="M62" s="34"/>
      <c r="N62" s="95"/>
      <c r="O62" s="34"/>
      <c r="P62" s="34"/>
    </row>
    <row r="63" spans="1:16" ht="12.75">
      <c r="A63" s="34"/>
      <c r="B63" s="34"/>
      <c r="C63" s="34"/>
      <c r="D63" s="34"/>
      <c r="E63" s="34"/>
      <c r="F63" s="34"/>
      <c r="G63" s="135"/>
      <c r="H63" s="34"/>
      <c r="I63" s="34"/>
      <c r="J63" s="34"/>
      <c r="K63" s="34"/>
      <c r="L63" s="34"/>
      <c r="M63" s="34"/>
      <c r="N63" s="95"/>
      <c r="O63" s="34"/>
      <c r="P63" s="34"/>
    </row>
    <row r="64" spans="1:16" ht="12.75">
      <c r="A64" s="34"/>
      <c r="B64" s="34"/>
      <c r="C64" s="34"/>
      <c r="D64" s="34"/>
      <c r="E64" s="34"/>
      <c r="F64" s="34"/>
      <c r="G64" s="135"/>
      <c r="H64" s="34"/>
      <c r="I64" s="34"/>
      <c r="J64" s="34"/>
      <c r="K64" s="34"/>
      <c r="L64" s="34"/>
      <c r="M64" s="34"/>
      <c r="N64" s="95"/>
      <c r="O64" s="34"/>
      <c r="P64" s="34"/>
    </row>
    <row r="65" spans="1:16" ht="12.75">
      <c r="A65" s="34"/>
      <c r="B65" s="34"/>
      <c r="C65" s="34"/>
      <c r="D65" s="34"/>
      <c r="E65" s="34"/>
      <c r="F65" s="34"/>
      <c r="G65" s="135"/>
      <c r="H65" s="34"/>
      <c r="I65" s="34"/>
      <c r="J65" s="34"/>
      <c r="K65" s="34"/>
      <c r="L65" s="34"/>
      <c r="M65" s="34"/>
      <c r="N65" s="95"/>
      <c r="O65" s="34"/>
      <c r="P65" s="34"/>
    </row>
    <row r="66" spans="1:16" ht="12.75">
      <c r="A66" s="34"/>
      <c r="B66" s="34"/>
      <c r="C66" s="34"/>
      <c r="D66" s="34"/>
      <c r="E66" s="34"/>
      <c r="F66" s="34"/>
      <c r="G66" s="135"/>
      <c r="H66" s="34"/>
      <c r="I66" s="34"/>
      <c r="J66" s="34"/>
      <c r="K66" s="34"/>
      <c r="L66" s="34"/>
      <c r="M66" s="34"/>
      <c r="N66" s="95"/>
      <c r="O66" s="34"/>
      <c r="P66" s="34"/>
    </row>
  </sheetData>
  <sheetProtection password="EF51" sheet="1" objects="1" scenarios="1" selectLockedCells="1" pivotTables="0"/>
  <mergeCells count="18">
    <mergeCell ref="E1:K1"/>
    <mergeCell ref="F2:I2"/>
    <mergeCell ref="G4:H4"/>
    <mergeCell ref="D4:D5"/>
    <mergeCell ref="E4:E5"/>
    <mergeCell ref="G12:I12"/>
    <mergeCell ref="G28:I28"/>
    <mergeCell ref="C14:D14"/>
    <mergeCell ref="E20:E21"/>
    <mergeCell ref="C18:G19"/>
    <mergeCell ref="I18:M19"/>
    <mergeCell ref="C12:E12"/>
    <mergeCell ref="G20:H20"/>
    <mergeCell ref="D20:D21"/>
    <mergeCell ref="C31:I32"/>
    <mergeCell ref="C15:I16"/>
    <mergeCell ref="C30:D30"/>
    <mergeCell ref="C28:E28"/>
  </mergeCells>
  <conditionalFormatting sqref="F2:I2">
    <cfRule type="cellIs" priority="1" dxfId="1" operator="equal" stopIfTrue="1">
      <formula>"Date ?"</formula>
    </cfRule>
  </conditionalFormatting>
  <printOptions horizontalCentered="1"/>
  <pageMargins left="0.29" right="0.3" top="0.34" bottom="0.37" header="0.28" footer="0.32"/>
  <pageSetup fitToHeight="1" fitToWidth="1" horizontalDpi="300" verticalDpi="300" orientation="landscape" paperSize="9" scale="96" r:id="rId4"/>
  <ignoredErrors>
    <ignoredError sqref="M11 M9 M25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B11"/>
  <sheetViews>
    <sheetView workbookViewId="0" topLeftCell="A1">
      <selection activeCell="A1" sqref="A1"/>
    </sheetView>
  </sheetViews>
  <sheetFormatPr defaultColWidth="11.421875" defaultRowHeight="12.75"/>
  <cols>
    <col min="1" max="1" width="116.421875" style="275" customWidth="1"/>
    <col min="2" max="2" width="30.28125" style="270" customWidth="1"/>
    <col min="3" max="16384" width="11.421875" style="270" customWidth="1"/>
  </cols>
  <sheetData>
    <row r="1" spans="1:2" ht="79.5" customHeight="1">
      <c r="A1" s="273" t="str">
        <f>Inscriptions!D10&amp;"  "&amp;Inscriptions!E10</f>
        <v>  </v>
      </c>
      <c r="B1" s="269">
        <f>Inscriptions!G10</f>
        <v>0</v>
      </c>
    </row>
    <row r="2" spans="1:2" ht="18" customHeight="1">
      <c r="A2" s="274"/>
      <c r="B2" s="271"/>
    </row>
    <row r="3" spans="1:2" ht="79.5" customHeight="1">
      <c r="A3" s="273" t="str">
        <f>Inscriptions!D11&amp;"  "&amp;Inscriptions!E11</f>
        <v>  </v>
      </c>
      <c r="B3" s="269">
        <f>Inscriptions!G11</f>
        <v>0</v>
      </c>
    </row>
    <row r="4" spans="1:2" ht="18" customHeight="1">
      <c r="A4" s="274"/>
      <c r="B4" s="271"/>
    </row>
    <row r="5" spans="1:2" ht="79.5" customHeight="1">
      <c r="A5" s="273" t="str">
        <f>Inscriptions!D12&amp;"  "&amp;Inscriptions!E12</f>
        <v>  </v>
      </c>
      <c r="B5" s="269">
        <f>Inscriptions!G12</f>
        <v>0</v>
      </c>
    </row>
    <row r="6" spans="1:2" ht="18" customHeight="1">
      <c r="A6" s="274"/>
      <c r="B6" s="271"/>
    </row>
    <row r="7" spans="1:2" ht="79.5" customHeight="1">
      <c r="A7" s="273" t="str">
        <f>Inscriptions!D20&amp;"  "&amp;Inscriptions!E20</f>
        <v>  </v>
      </c>
      <c r="B7" s="269">
        <f>Inscriptions!G20</f>
        <v>0</v>
      </c>
    </row>
    <row r="8" ht="18" customHeight="1">
      <c r="B8" s="272"/>
    </row>
    <row r="9" spans="1:2" ht="79.5" customHeight="1">
      <c r="A9" s="273" t="str">
        <f>Inscriptions!D21&amp;"  "&amp;Inscriptions!E21</f>
        <v>  </v>
      </c>
      <c r="B9" s="269">
        <f>Inscriptions!G21</f>
        <v>0</v>
      </c>
    </row>
    <row r="10" ht="18" customHeight="1">
      <c r="B10" s="272"/>
    </row>
    <row r="11" spans="1:2" ht="79.5" customHeight="1">
      <c r="A11" s="273" t="str">
        <f>Inscriptions!D22&amp;"  "&amp;Inscriptions!E22</f>
        <v>  </v>
      </c>
      <c r="B11" s="269">
        <f>Inscriptions!G22</f>
        <v>0</v>
      </c>
    </row>
  </sheetData>
  <sheetProtection/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B10"/>
  <sheetViews>
    <sheetView workbookViewId="0" topLeftCell="A1">
      <selection activeCell="B1" sqref="B1"/>
    </sheetView>
  </sheetViews>
  <sheetFormatPr defaultColWidth="11.421875" defaultRowHeight="12.75"/>
  <cols>
    <col min="1" max="1" width="116.421875" style="291" customWidth="1"/>
    <col min="2" max="2" width="30.28125" style="288" customWidth="1"/>
    <col min="3" max="16384" width="11.421875" style="288" customWidth="1"/>
  </cols>
  <sheetData>
    <row r="1" spans="1:2" ht="174.75" customHeight="1">
      <c r="A1" s="286" t="str">
        <f>Inscriptions!D10&amp;"  "&amp;Inscriptions!E10</f>
        <v>  </v>
      </c>
      <c r="B1" s="287">
        <f>Inscriptions!G10</f>
        <v>0</v>
      </c>
    </row>
    <row r="2" spans="1:2" ht="24.75" customHeight="1">
      <c r="A2" s="289"/>
      <c r="B2" s="290"/>
    </row>
    <row r="3" spans="1:2" ht="174.75" customHeight="1">
      <c r="A3" s="286" t="str">
        <f>Inscriptions!D11&amp;"  "&amp;Inscriptions!E11</f>
        <v>  </v>
      </c>
      <c r="B3" s="287">
        <f>Inscriptions!G11</f>
        <v>0</v>
      </c>
    </row>
    <row r="4" spans="1:2" ht="24.75" customHeight="1">
      <c r="A4" s="289"/>
      <c r="B4" s="290"/>
    </row>
    <row r="5" spans="1:2" ht="174.75" customHeight="1">
      <c r="A5" s="286" t="str">
        <f>Inscriptions!D12&amp;"  "&amp;Inscriptions!E12</f>
        <v>  </v>
      </c>
      <c r="B5" s="287">
        <f>Inscriptions!G12</f>
        <v>0</v>
      </c>
    </row>
    <row r="6" spans="1:2" ht="174.75" customHeight="1">
      <c r="A6" s="286" t="str">
        <f>Inscriptions!D20&amp;"  "&amp;Inscriptions!E20</f>
        <v>  </v>
      </c>
      <c r="B6" s="287">
        <f>Inscriptions!G20</f>
        <v>0</v>
      </c>
    </row>
    <row r="7" ht="24.75" customHeight="1"/>
    <row r="8" spans="1:2" ht="174.75" customHeight="1">
      <c r="A8" s="286" t="str">
        <f>Inscriptions!D21&amp;"  "&amp;Inscriptions!E21</f>
        <v>  </v>
      </c>
      <c r="B8" s="287">
        <f>Inscriptions!G21</f>
        <v>0</v>
      </c>
    </row>
    <row r="9" ht="24.75" customHeight="1"/>
    <row r="10" spans="1:2" ht="174.75" customHeight="1">
      <c r="A10" s="286" t="str">
        <f>Inscriptions!D22&amp;"  "&amp;Inscriptions!E22</f>
        <v>  </v>
      </c>
      <c r="B10" s="287">
        <f>Inscriptions!G22</f>
        <v>0</v>
      </c>
    </row>
  </sheetData>
  <sheetProtection/>
  <printOptions horizontalCentered="1" verticalCentered="1"/>
  <pageMargins left="0.1968503937007874" right="0.1968503937007874" top="0.1968503937007874" bottom="0.1968503937007874" header="0" footer="0"/>
  <pageSetup blackAndWhite="1" fitToHeight="2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REISSER</dc:creator>
  <cp:keywords/>
  <dc:description/>
  <cp:lastModifiedBy>mpottier@dbmail.com</cp:lastModifiedBy>
  <cp:lastPrinted>2013-07-31T15:47:45Z</cp:lastPrinted>
  <dcterms:created xsi:type="dcterms:W3CDTF">2000-09-02T19:22:04Z</dcterms:created>
  <dcterms:modified xsi:type="dcterms:W3CDTF">2022-09-19T09:14:03Z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